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Paulo\Documents\Sport\Bundesliga\Bundesliga-Tippspiel\2023_2024\"/>
    </mc:Choice>
  </mc:AlternateContent>
  <xr:revisionPtr revIDLastSave="0" documentId="13_ncr:1_{7409BE21-00A1-4BEC-86C9-B71077DFD496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Ergebniseingabe" sheetId="39" state="hidden" r:id="rId1"/>
    <sheet name="Spieltag" sheetId="41" state="hidden" r:id="rId2"/>
    <sheet name="Auswertung" sheetId="6" r:id="rId3"/>
    <sheet name="Mannschaftstipps" sheetId="8" r:id="rId4"/>
    <sheet name="Ergebnistipps" sheetId="21" r:id="rId5"/>
    <sheet name="Zusammenfassung Spieltagspunkte" sheetId="40" r:id="rId6"/>
  </sheets>
  <externalReferences>
    <externalReference r:id="rId7"/>
    <externalReference r:id="rId8"/>
  </externalReferences>
  <definedNames>
    <definedName name="_xlnm._FilterDatabase" localSheetId="2" hidden="1">Auswertung!$A$1:$A$2</definedName>
    <definedName name="_xlnm._FilterDatabase" localSheetId="1" hidden="1">Spieltag!$K$1:$AB$554</definedName>
    <definedName name="_xlnm.Print_Area" localSheetId="2">Auswertung!$B$1:$W$611</definedName>
    <definedName name="_xlnm.Print_Area" localSheetId="4">Ergebnistipps!$A$1:$X$29</definedName>
    <definedName name="_xlnm.Print_Area" localSheetId="3">Mannschaftstipps!$A$1:$M$50</definedName>
    <definedName name="_xlnm.Print_Area" localSheetId="1">Spieltag!$B$1:$I$609</definedName>
    <definedName name="_xlnm.Print_Titles" localSheetId="2">Auswertung!$12:$14</definedName>
    <definedName name="_xlnm.Print_Titles" localSheetId="1">Spieltag!$1:$1</definedName>
  </definedNames>
  <calcPr calcId="181029"/>
</workbook>
</file>

<file path=xl/calcChain.xml><?xml version="1.0" encoding="utf-8"?>
<calcChain xmlns="http://schemas.openxmlformats.org/spreadsheetml/2006/main">
  <c r="E9" i="6" l="1"/>
  <c r="D9" i="6"/>
  <c r="E8" i="6"/>
  <c r="D8" i="6"/>
  <c r="E7" i="6"/>
  <c r="D7" i="6"/>
  <c r="E6" i="6"/>
  <c r="D6" i="6"/>
  <c r="E5" i="6"/>
  <c r="D5" i="6"/>
  <c r="E4" i="6"/>
  <c r="D4" i="6"/>
  <c r="E3" i="6"/>
  <c r="D3" i="6"/>
  <c r="E2" i="6"/>
  <c r="D2" i="6"/>
  <c r="E1" i="6"/>
  <c r="D1" i="6"/>
  <c r="R28" i="21"/>
  <c r="Q28" i="21"/>
  <c r="N28" i="21"/>
  <c r="M28" i="21"/>
  <c r="J28" i="21"/>
  <c r="I28" i="21"/>
  <c r="F28" i="21"/>
  <c r="E28" i="21"/>
  <c r="R27" i="21"/>
  <c r="Q27" i="21"/>
  <c r="N27" i="21"/>
  <c r="M27" i="21"/>
  <c r="J27" i="21"/>
  <c r="I27" i="21"/>
  <c r="F27" i="21"/>
  <c r="E27" i="21"/>
  <c r="R26" i="21"/>
  <c r="Q26" i="21"/>
  <c r="N26" i="21"/>
  <c r="M26" i="21"/>
  <c r="J26" i="21"/>
  <c r="I26" i="21"/>
  <c r="F26" i="21"/>
  <c r="E26" i="21"/>
  <c r="R25" i="21"/>
  <c r="Q25" i="21"/>
  <c r="N25" i="21"/>
  <c r="M25" i="21"/>
  <c r="J25" i="21"/>
  <c r="I25" i="21"/>
  <c r="F25" i="21"/>
  <c r="E25" i="21"/>
  <c r="R24" i="21"/>
  <c r="Q24" i="21"/>
  <c r="N24" i="21"/>
  <c r="M24" i="21"/>
  <c r="J24" i="21"/>
  <c r="I24" i="21"/>
  <c r="F24" i="21"/>
  <c r="E24" i="21"/>
  <c r="R23" i="21"/>
  <c r="Q23" i="21"/>
  <c r="N23" i="21"/>
  <c r="M23" i="21"/>
  <c r="J23" i="21"/>
  <c r="I23" i="21"/>
  <c r="F23" i="21"/>
  <c r="E23" i="21"/>
  <c r="R22" i="21"/>
  <c r="Q22" i="21"/>
  <c r="N22" i="21"/>
  <c r="M22" i="21"/>
  <c r="J22" i="21"/>
  <c r="I22" i="21"/>
  <c r="F22" i="21"/>
  <c r="E22" i="21"/>
  <c r="R21" i="21"/>
  <c r="Q21" i="21"/>
  <c r="N21" i="21"/>
  <c r="M21" i="21"/>
  <c r="J21" i="21"/>
  <c r="I21" i="21"/>
  <c r="F21" i="21"/>
  <c r="E21" i="21"/>
  <c r="R20" i="21"/>
  <c r="Q20" i="21"/>
  <c r="N20" i="21"/>
  <c r="M20" i="21"/>
  <c r="J20" i="21"/>
  <c r="I20" i="21"/>
  <c r="F20" i="21"/>
  <c r="E20" i="21"/>
  <c r="V13" i="21"/>
  <c r="U13" i="21"/>
  <c r="R13" i="21"/>
  <c r="Q13" i="21"/>
  <c r="N13" i="21"/>
  <c r="M13" i="21"/>
  <c r="J13" i="21"/>
  <c r="I13" i="21"/>
  <c r="F13" i="21"/>
  <c r="E13" i="21"/>
  <c r="V12" i="21"/>
  <c r="U12" i="21"/>
  <c r="R12" i="21"/>
  <c r="Q12" i="21"/>
  <c r="N12" i="21"/>
  <c r="M12" i="21"/>
  <c r="J12" i="21"/>
  <c r="I12" i="21"/>
  <c r="F12" i="21"/>
  <c r="E12" i="21"/>
  <c r="V11" i="21"/>
  <c r="U11" i="21"/>
  <c r="R11" i="21"/>
  <c r="Q11" i="21"/>
  <c r="N11" i="21"/>
  <c r="M11" i="21"/>
  <c r="J11" i="21"/>
  <c r="I11" i="21"/>
  <c r="F11" i="21"/>
  <c r="E11" i="21"/>
  <c r="V10" i="21"/>
  <c r="U10" i="21"/>
  <c r="R10" i="21"/>
  <c r="Q10" i="21"/>
  <c r="N10" i="21"/>
  <c r="M10" i="21"/>
  <c r="J10" i="21"/>
  <c r="I10" i="21"/>
  <c r="F10" i="21"/>
  <c r="E10" i="21"/>
  <c r="V9" i="21"/>
  <c r="U9" i="21"/>
  <c r="R9" i="21"/>
  <c r="Q9" i="21"/>
  <c r="N9" i="21"/>
  <c r="M9" i="21"/>
  <c r="J9" i="21"/>
  <c r="I9" i="21"/>
  <c r="F9" i="21"/>
  <c r="E9" i="21"/>
  <c r="V8" i="21"/>
  <c r="U8" i="21"/>
  <c r="R8" i="21"/>
  <c r="Q8" i="21"/>
  <c r="N8" i="21"/>
  <c r="M8" i="21"/>
  <c r="J8" i="21"/>
  <c r="I8" i="21"/>
  <c r="F8" i="21"/>
  <c r="E8" i="21"/>
  <c r="V7" i="21"/>
  <c r="U7" i="21"/>
  <c r="R7" i="21"/>
  <c r="Q7" i="21"/>
  <c r="N7" i="21"/>
  <c r="M7" i="21"/>
  <c r="J7" i="21"/>
  <c r="I7" i="21"/>
  <c r="F7" i="21"/>
  <c r="E7" i="21"/>
  <c r="V6" i="21"/>
  <c r="U6" i="21"/>
  <c r="R6" i="21"/>
  <c r="Q6" i="21"/>
  <c r="N6" i="21"/>
  <c r="M6" i="21"/>
  <c r="J6" i="21"/>
  <c r="I6" i="21"/>
  <c r="F6" i="21"/>
  <c r="E6" i="21"/>
  <c r="V5" i="21"/>
  <c r="U5" i="21"/>
  <c r="R5" i="21"/>
  <c r="Q5" i="21"/>
  <c r="N5" i="21"/>
  <c r="M5" i="21"/>
  <c r="J5" i="21"/>
  <c r="I5" i="21"/>
  <c r="F5" i="21"/>
  <c r="E5" i="21"/>
  <c r="W566" i="6" l="1"/>
  <c r="V566" i="6"/>
  <c r="U566" i="6"/>
  <c r="S566" i="6"/>
  <c r="N566" i="6"/>
  <c r="L566" i="6"/>
  <c r="J566" i="6"/>
  <c r="H566" i="6"/>
  <c r="E566" i="6"/>
  <c r="D566" i="6"/>
  <c r="C566" i="6"/>
  <c r="B566" i="6"/>
  <c r="W488" i="6"/>
  <c r="V488" i="6"/>
  <c r="U488" i="6"/>
  <c r="S488" i="6"/>
  <c r="N488" i="6"/>
  <c r="L488" i="6"/>
  <c r="J488" i="6"/>
  <c r="H488" i="6"/>
  <c r="E488" i="6"/>
  <c r="D488" i="6"/>
  <c r="C488" i="6"/>
  <c r="B488" i="6"/>
  <c r="AB553" i="41"/>
  <c r="AB475" i="41"/>
  <c r="W461" i="6"/>
  <c r="V461" i="6"/>
  <c r="U461" i="6"/>
  <c r="S461" i="6"/>
  <c r="N461" i="6"/>
  <c r="L461" i="6"/>
  <c r="J461" i="6"/>
  <c r="H461" i="6"/>
  <c r="E461" i="6"/>
  <c r="D461" i="6"/>
  <c r="C461" i="6"/>
  <c r="B461" i="6"/>
  <c r="W438" i="6"/>
  <c r="V438" i="6"/>
  <c r="U438" i="6"/>
  <c r="S438" i="6"/>
  <c r="N438" i="6"/>
  <c r="L438" i="6"/>
  <c r="J438" i="6"/>
  <c r="H438" i="6"/>
  <c r="E438" i="6"/>
  <c r="D438" i="6"/>
  <c r="C438" i="6"/>
  <c r="B438" i="6"/>
  <c r="W437" i="6"/>
  <c r="V437" i="6"/>
  <c r="U437" i="6"/>
  <c r="S437" i="6"/>
  <c r="N437" i="6"/>
  <c r="L437" i="6"/>
  <c r="J437" i="6"/>
  <c r="H437" i="6"/>
  <c r="E437" i="6"/>
  <c r="D437" i="6"/>
  <c r="C437" i="6"/>
  <c r="B437" i="6"/>
  <c r="W407" i="6"/>
  <c r="V407" i="6"/>
  <c r="U407" i="6"/>
  <c r="S407" i="6"/>
  <c r="N407" i="6"/>
  <c r="L407" i="6"/>
  <c r="J407" i="6"/>
  <c r="H407" i="6"/>
  <c r="E407" i="6"/>
  <c r="D407" i="6"/>
  <c r="C407" i="6"/>
  <c r="B407" i="6"/>
  <c r="W408" i="6"/>
  <c r="V408" i="6"/>
  <c r="U408" i="6"/>
  <c r="S408" i="6"/>
  <c r="N408" i="6"/>
  <c r="L408" i="6"/>
  <c r="J408" i="6"/>
  <c r="H408" i="6"/>
  <c r="E408" i="6"/>
  <c r="D408" i="6"/>
  <c r="C408" i="6"/>
  <c r="B408" i="6"/>
  <c r="AB448" i="41"/>
  <c r="AB394" i="41"/>
  <c r="AB395" i="41"/>
  <c r="W290" i="6"/>
  <c r="V290" i="6"/>
  <c r="U290" i="6"/>
  <c r="S290" i="6"/>
  <c r="N290" i="6"/>
  <c r="L290" i="6"/>
  <c r="J290" i="6"/>
  <c r="H290" i="6"/>
  <c r="E290" i="6"/>
  <c r="D290" i="6"/>
  <c r="C290" i="6"/>
  <c r="B290" i="6"/>
  <c r="W284" i="6"/>
  <c r="V284" i="6"/>
  <c r="U284" i="6"/>
  <c r="S284" i="6"/>
  <c r="N284" i="6"/>
  <c r="L284" i="6"/>
  <c r="J284" i="6"/>
  <c r="H284" i="6"/>
  <c r="E284" i="6"/>
  <c r="D284" i="6"/>
  <c r="C284" i="6"/>
  <c r="B284" i="6"/>
  <c r="W263" i="6"/>
  <c r="V263" i="6"/>
  <c r="U263" i="6"/>
  <c r="S263" i="6"/>
  <c r="N263" i="6"/>
  <c r="L263" i="6"/>
  <c r="J263" i="6"/>
  <c r="H263" i="6"/>
  <c r="E263" i="6"/>
  <c r="D263" i="6"/>
  <c r="C263" i="6"/>
  <c r="B263" i="6"/>
  <c r="AB277" i="41"/>
  <c r="AB271" i="41"/>
  <c r="AB250" i="41"/>
  <c r="AB59" i="41"/>
  <c r="AB58" i="41"/>
  <c r="AB57" i="41"/>
  <c r="AB56" i="41"/>
  <c r="AB55" i="41"/>
  <c r="AB54" i="41"/>
  <c r="AB53" i="41"/>
  <c r="AB52" i="41"/>
  <c r="W45" i="6"/>
  <c r="V45" i="6"/>
  <c r="U45" i="6"/>
  <c r="S45" i="6"/>
  <c r="N45" i="6"/>
  <c r="L45" i="6"/>
  <c r="J45" i="6"/>
  <c r="H45" i="6"/>
  <c r="E45" i="6"/>
  <c r="D45" i="6"/>
  <c r="C45" i="6"/>
  <c r="B45" i="6"/>
  <c r="AB32" i="41"/>
  <c r="W419" i="6"/>
  <c r="V419" i="6"/>
  <c r="U419" i="6"/>
  <c r="S419" i="6"/>
  <c r="N419" i="6"/>
  <c r="L419" i="6"/>
  <c r="J419" i="6"/>
  <c r="H419" i="6"/>
  <c r="E419" i="6"/>
  <c r="D419" i="6"/>
  <c r="C419" i="6"/>
  <c r="B419" i="6"/>
  <c r="W418" i="6"/>
  <c r="V418" i="6"/>
  <c r="U418" i="6"/>
  <c r="S418" i="6"/>
  <c r="N418" i="6"/>
  <c r="L418" i="6"/>
  <c r="J418" i="6"/>
  <c r="H418" i="6"/>
  <c r="E418" i="6"/>
  <c r="D418" i="6"/>
  <c r="C418" i="6"/>
  <c r="B418" i="6"/>
  <c r="W417" i="6"/>
  <c r="V417" i="6"/>
  <c r="U417" i="6"/>
  <c r="S417" i="6"/>
  <c r="N417" i="6"/>
  <c r="L417" i="6"/>
  <c r="J417" i="6"/>
  <c r="H417" i="6"/>
  <c r="E417" i="6"/>
  <c r="D417" i="6"/>
  <c r="C417" i="6"/>
  <c r="B417" i="6"/>
  <c r="AB405" i="41"/>
  <c r="W234" i="6"/>
  <c r="V234" i="6"/>
  <c r="U234" i="6"/>
  <c r="S234" i="6"/>
  <c r="N234" i="6"/>
  <c r="L234" i="6"/>
  <c r="J234" i="6"/>
  <c r="H234" i="6"/>
  <c r="E234" i="6"/>
  <c r="D234" i="6"/>
  <c r="C234" i="6"/>
  <c r="B234" i="6"/>
  <c r="AB221" i="41"/>
  <c r="W194" i="6"/>
  <c r="V194" i="6"/>
  <c r="U194" i="6"/>
  <c r="S194" i="6"/>
  <c r="N194" i="6"/>
  <c r="L194" i="6"/>
  <c r="J194" i="6"/>
  <c r="H194" i="6"/>
  <c r="E194" i="6"/>
  <c r="D194" i="6"/>
  <c r="C194" i="6"/>
  <c r="B194" i="6"/>
  <c r="AB181" i="41"/>
  <c r="W104" i="6"/>
  <c r="V104" i="6"/>
  <c r="U104" i="6"/>
  <c r="S104" i="6"/>
  <c r="N104" i="6"/>
  <c r="L104" i="6"/>
  <c r="J104" i="6"/>
  <c r="H104" i="6"/>
  <c r="E104" i="6"/>
  <c r="D104" i="6"/>
  <c r="C104" i="6"/>
  <c r="B104" i="6"/>
  <c r="AB91" i="41"/>
  <c r="W28" i="6"/>
  <c r="V28" i="6"/>
  <c r="U28" i="6"/>
  <c r="S28" i="6"/>
  <c r="N28" i="6"/>
  <c r="L28" i="6"/>
  <c r="J28" i="6"/>
  <c r="H28" i="6"/>
  <c r="E28" i="6"/>
  <c r="D28" i="6"/>
  <c r="C28" i="6"/>
  <c r="B28" i="6"/>
  <c r="AB15" i="41"/>
  <c r="W348" i="6"/>
  <c r="V348" i="6"/>
  <c r="U348" i="6"/>
  <c r="S348" i="6"/>
  <c r="N348" i="6"/>
  <c r="L348" i="6"/>
  <c r="J348" i="6"/>
  <c r="H348" i="6"/>
  <c r="E348" i="6"/>
  <c r="D348" i="6"/>
  <c r="C348" i="6"/>
  <c r="B348" i="6"/>
  <c r="AB335" i="41"/>
  <c r="W158" i="6"/>
  <c r="V158" i="6"/>
  <c r="U158" i="6"/>
  <c r="S158" i="6"/>
  <c r="N158" i="6"/>
  <c r="L158" i="6"/>
  <c r="J158" i="6"/>
  <c r="H158" i="6"/>
  <c r="E158" i="6"/>
  <c r="D158" i="6"/>
  <c r="C158" i="6"/>
  <c r="B158" i="6"/>
  <c r="AB145" i="41"/>
  <c r="W366" i="6"/>
  <c r="V366" i="6"/>
  <c r="U366" i="6"/>
  <c r="S366" i="6"/>
  <c r="N366" i="6"/>
  <c r="L366" i="6"/>
  <c r="J366" i="6"/>
  <c r="H366" i="6"/>
  <c r="E366" i="6"/>
  <c r="D366" i="6"/>
  <c r="C366" i="6"/>
  <c r="B366" i="6"/>
  <c r="AB353" i="41"/>
  <c r="W152" i="6"/>
  <c r="V152" i="6"/>
  <c r="U152" i="6"/>
  <c r="S152" i="6"/>
  <c r="N152" i="6"/>
  <c r="L152" i="6"/>
  <c r="J152" i="6"/>
  <c r="H152" i="6"/>
  <c r="E152" i="6"/>
  <c r="D152" i="6"/>
  <c r="C152" i="6"/>
  <c r="B152" i="6"/>
  <c r="W151" i="6"/>
  <c r="V151" i="6"/>
  <c r="U151" i="6"/>
  <c r="S151" i="6"/>
  <c r="N151" i="6"/>
  <c r="L151" i="6"/>
  <c r="J151" i="6"/>
  <c r="H151" i="6"/>
  <c r="E151" i="6"/>
  <c r="D151" i="6"/>
  <c r="C151" i="6"/>
  <c r="B151" i="6"/>
  <c r="V150" i="6"/>
  <c r="U150" i="6"/>
  <c r="S150" i="6"/>
  <c r="N150" i="6"/>
  <c r="L150" i="6"/>
  <c r="J150" i="6"/>
  <c r="H150" i="6"/>
  <c r="E150" i="6"/>
  <c r="D150" i="6"/>
  <c r="C150" i="6"/>
  <c r="B150" i="6"/>
  <c r="W149" i="6"/>
  <c r="V149" i="6"/>
  <c r="U149" i="6"/>
  <c r="S149" i="6"/>
  <c r="N149" i="6"/>
  <c r="L149" i="6"/>
  <c r="J149" i="6"/>
  <c r="H149" i="6"/>
  <c r="E149" i="6"/>
  <c r="D149" i="6"/>
  <c r="C149" i="6"/>
  <c r="B149" i="6"/>
  <c r="W148" i="6"/>
  <c r="V148" i="6"/>
  <c r="U148" i="6"/>
  <c r="S148" i="6"/>
  <c r="N148" i="6"/>
  <c r="L148" i="6"/>
  <c r="J148" i="6"/>
  <c r="H148" i="6"/>
  <c r="E148" i="6"/>
  <c r="D148" i="6"/>
  <c r="C148" i="6"/>
  <c r="B148" i="6"/>
  <c r="W147" i="6"/>
  <c r="V147" i="6"/>
  <c r="U147" i="6"/>
  <c r="S147" i="6"/>
  <c r="N147" i="6"/>
  <c r="L147" i="6"/>
  <c r="J147" i="6"/>
  <c r="H147" i="6"/>
  <c r="E147" i="6"/>
  <c r="D147" i="6"/>
  <c r="C147" i="6"/>
  <c r="B147" i="6"/>
  <c r="W146" i="6"/>
  <c r="V146" i="6"/>
  <c r="U146" i="6"/>
  <c r="S146" i="6"/>
  <c r="N146" i="6"/>
  <c r="L146" i="6"/>
  <c r="J146" i="6"/>
  <c r="H146" i="6"/>
  <c r="E146" i="6"/>
  <c r="D146" i="6"/>
  <c r="C146" i="6"/>
  <c r="B146" i="6"/>
  <c r="AB122" i="41"/>
  <c r="AB123" i="41"/>
  <c r="W326" i="6"/>
  <c r="V326" i="6"/>
  <c r="U326" i="6"/>
  <c r="S326" i="6"/>
  <c r="N326" i="6"/>
  <c r="L326" i="6"/>
  <c r="J326" i="6"/>
  <c r="H326" i="6"/>
  <c r="E326" i="6"/>
  <c r="D326" i="6"/>
  <c r="C326" i="6"/>
  <c r="B326" i="6"/>
  <c r="AB313" i="41"/>
  <c r="AB139" i="41"/>
  <c r="W397" i="6"/>
  <c r="V397" i="6"/>
  <c r="U397" i="6"/>
  <c r="S397" i="6"/>
  <c r="N397" i="6"/>
  <c r="L397" i="6"/>
  <c r="J397" i="6"/>
  <c r="H397" i="6"/>
  <c r="E397" i="6"/>
  <c r="D397" i="6"/>
  <c r="C397" i="6"/>
  <c r="B397" i="6"/>
  <c r="AB384" i="41"/>
  <c r="W464" i="6"/>
  <c r="V464" i="6"/>
  <c r="U464" i="6"/>
  <c r="S464" i="6"/>
  <c r="N464" i="6"/>
  <c r="L464" i="6"/>
  <c r="J464" i="6"/>
  <c r="H464" i="6"/>
  <c r="E464" i="6"/>
  <c r="D464" i="6"/>
  <c r="C464" i="6"/>
  <c r="B464" i="6"/>
  <c r="AB451" i="41"/>
  <c r="W556" i="6"/>
  <c r="V556" i="6"/>
  <c r="U556" i="6"/>
  <c r="S556" i="6"/>
  <c r="N556" i="6"/>
  <c r="L556" i="6"/>
  <c r="J556" i="6"/>
  <c r="H556" i="6"/>
  <c r="E556" i="6"/>
  <c r="D556" i="6"/>
  <c r="C556" i="6"/>
  <c r="B556" i="6"/>
  <c r="W563" i="6"/>
  <c r="V563" i="6"/>
  <c r="U563" i="6"/>
  <c r="S563" i="6"/>
  <c r="N563" i="6"/>
  <c r="L563" i="6"/>
  <c r="J563" i="6"/>
  <c r="H563" i="6"/>
  <c r="E563" i="6"/>
  <c r="D563" i="6"/>
  <c r="C563" i="6"/>
  <c r="B563" i="6"/>
  <c r="AB550" i="41"/>
  <c r="AB543" i="41"/>
  <c r="W500" i="6"/>
  <c r="V500" i="6"/>
  <c r="U500" i="6"/>
  <c r="S500" i="6"/>
  <c r="N500" i="6"/>
  <c r="L500" i="6"/>
  <c r="J500" i="6"/>
  <c r="H500" i="6"/>
  <c r="E500" i="6"/>
  <c r="D500" i="6"/>
  <c r="C500" i="6"/>
  <c r="B500" i="6"/>
  <c r="AB487" i="41"/>
  <c r="W486" i="6"/>
  <c r="V486" i="6"/>
  <c r="U486" i="6"/>
  <c r="S486" i="6"/>
  <c r="N486" i="6"/>
  <c r="L486" i="6"/>
  <c r="J486" i="6"/>
  <c r="H486" i="6"/>
  <c r="E486" i="6"/>
  <c r="D486" i="6"/>
  <c r="C486" i="6"/>
  <c r="B486" i="6"/>
  <c r="AB473" i="41"/>
  <c r="W357" i="6"/>
  <c r="V357" i="6"/>
  <c r="U357" i="6"/>
  <c r="S357" i="6"/>
  <c r="N357" i="6"/>
  <c r="L357" i="6"/>
  <c r="J357" i="6"/>
  <c r="H357" i="6"/>
  <c r="E357" i="6"/>
  <c r="D357" i="6"/>
  <c r="C357" i="6"/>
  <c r="B357" i="6"/>
  <c r="AB344" i="41"/>
  <c r="W199" i="6"/>
  <c r="V199" i="6"/>
  <c r="U199" i="6"/>
  <c r="S199" i="6"/>
  <c r="N199" i="6"/>
  <c r="L199" i="6"/>
  <c r="J199" i="6"/>
  <c r="H199" i="6"/>
  <c r="E199" i="6"/>
  <c r="D199" i="6"/>
  <c r="C199" i="6"/>
  <c r="B199" i="6"/>
  <c r="AB186" i="41"/>
  <c r="AB103" i="41"/>
  <c r="AB104" i="41"/>
  <c r="AB105" i="41"/>
  <c r="AB106" i="41"/>
  <c r="AB107" i="41"/>
  <c r="V108" i="6"/>
  <c r="U108" i="6"/>
  <c r="S108" i="6"/>
  <c r="N108" i="6"/>
  <c r="L108" i="6"/>
  <c r="J108" i="6"/>
  <c r="H108" i="6"/>
  <c r="E108" i="6"/>
  <c r="D108" i="6"/>
  <c r="C108" i="6"/>
  <c r="B108" i="6"/>
  <c r="AB95" i="41"/>
  <c r="V67" i="6"/>
  <c r="U67" i="6"/>
  <c r="S67" i="6"/>
  <c r="N67" i="6"/>
  <c r="L67" i="6"/>
  <c r="J67" i="6"/>
  <c r="H67" i="6"/>
  <c r="E67" i="6"/>
  <c r="D67" i="6"/>
  <c r="C67" i="6"/>
  <c r="B67" i="6"/>
  <c r="W58" i="6"/>
  <c r="V58" i="6"/>
  <c r="U58" i="6"/>
  <c r="S58" i="6"/>
  <c r="N58" i="6"/>
  <c r="L58" i="6"/>
  <c r="J58" i="6"/>
  <c r="H58" i="6"/>
  <c r="E58" i="6"/>
  <c r="D58" i="6"/>
  <c r="C58" i="6"/>
  <c r="B58" i="6"/>
  <c r="AB45" i="41"/>
  <c r="W24" i="6"/>
  <c r="V24" i="6"/>
  <c r="U24" i="6"/>
  <c r="S24" i="6"/>
  <c r="N24" i="6"/>
  <c r="L24" i="6"/>
  <c r="J24" i="6"/>
  <c r="H24" i="6"/>
  <c r="E24" i="6"/>
  <c r="D24" i="6"/>
  <c r="C24" i="6"/>
  <c r="B24" i="6"/>
  <c r="AB11" i="41"/>
  <c r="W232" i="6"/>
  <c r="V232" i="6"/>
  <c r="U232" i="6"/>
  <c r="S232" i="6"/>
  <c r="N232" i="6"/>
  <c r="L232" i="6"/>
  <c r="J232" i="6"/>
  <c r="H232" i="6"/>
  <c r="E232" i="6"/>
  <c r="D232" i="6"/>
  <c r="C232" i="6"/>
  <c r="B232" i="6"/>
  <c r="AB219" i="41"/>
  <c r="W224" i="6"/>
  <c r="V224" i="6"/>
  <c r="U224" i="6"/>
  <c r="S224" i="6"/>
  <c r="N224" i="6"/>
  <c r="L224" i="6"/>
  <c r="J224" i="6"/>
  <c r="H224" i="6"/>
  <c r="E224" i="6"/>
  <c r="D224" i="6"/>
  <c r="C224" i="6"/>
  <c r="B224" i="6"/>
  <c r="AB211" i="41"/>
  <c r="W499" i="6"/>
  <c r="V499" i="6"/>
  <c r="U499" i="6"/>
  <c r="S499" i="6"/>
  <c r="N499" i="6"/>
  <c r="L499" i="6"/>
  <c r="J499" i="6"/>
  <c r="H499" i="6"/>
  <c r="E499" i="6"/>
  <c r="D499" i="6"/>
  <c r="C499" i="6"/>
  <c r="B499" i="6"/>
  <c r="AB486" i="41"/>
  <c r="W400" i="6"/>
  <c r="V400" i="6"/>
  <c r="U400" i="6"/>
  <c r="S400" i="6"/>
  <c r="N400" i="6"/>
  <c r="L400" i="6"/>
  <c r="J400" i="6"/>
  <c r="H400" i="6"/>
  <c r="E400" i="6"/>
  <c r="D400" i="6"/>
  <c r="C400" i="6"/>
  <c r="B400" i="6"/>
  <c r="W389" i="6"/>
  <c r="V389" i="6"/>
  <c r="U389" i="6"/>
  <c r="S389" i="6"/>
  <c r="N389" i="6"/>
  <c r="L389" i="6"/>
  <c r="J389" i="6"/>
  <c r="H389" i="6"/>
  <c r="E389" i="6"/>
  <c r="D389" i="6"/>
  <c r="C389" i="6"/>
  <c r="B389" i="6"/>
  <c r="AB387" i="41"/>
  <c r="AB376" i="41"/>
  <c r="W295" i="6"/>
  <c r="V295" i="6"/>
  <c r="U295" i="6"/>
  <c r="S295" i="6"/>
  <c r="N295" i="6"/>
  <c r="L295" i="6"/>
  <c r="J295" i="6"/>
  <c r="H295" i="6"/>
  <c r="E295" i="6"/>
  <c r="D295" i="6"/>
  <c r="C295" i="6"/>
  <c r="B295" i="6"/>
  <c r="W278" i="6"/>
  <c r="V278" i="6"/>
  <c r="U278" i="6"/>
  <c r="S278" i="6"/>
  <c r="N278" i="6"/>
  <c r="L278" i="6"/>
  <c r="J278" i="6"/>
  <c r="H278" i="6"/>
  <c r="E278" i="6"/>
  <c r="D278" i="6"/>
  <c r="C278" i="6"/>
  <c r="B278" i="6"/>
  <c r="W258" i="6"/>
  <c r="V258" i="6"/>
  <c r="U258" i="6"/>
  <c r="S258" i="6"/>
  <c r="N258" i="6"/>
  <c r="L258" i="6"/>
  <c r="J258" i="6"/>
  <c r="H258" i="6"/>
  <c r="E258" i="6"/>
  <c r="D258" i="6"/>
  <c r="C258" i="6"/>
  <c r="B258" i="6"/>
  <c r="W204" i="6"/>
  <c r="V204" i="6"/>
  <c r="U204" i="6"/>
  <c r="S204" i="6"/>
  <c r="N204" i="6"/>
  <c r="L204" i="6"/>
  <c r="J204" i="6"/>
  <c r="H204" i="6"/>
  <c r="E204" i="6"/>
  <c r="D204" i="6"/>
  <c r="C204" i="6"/>
  <c r="B204" i="6"/>
  <c r="AB282" i="41"/>
  <c r="AB265" i="41"/>
  <c r="AB245" i="41"/>
  <c r="AB191" i="41"/>
  <c r="W164" i="6"/>
  <c r="V164" i="6"/>
  <c r="U164" i="6"/>
  <c r="S164" i="6"/>
  <c r="N164" i="6"/>
  <c r="L164" i="6"/>
  <c r="J164" i="6"/>
  <c r="H164" i="6"/>
  <c r="E164" i="6"/>
  <c r="D164" i="6"/>
  <c r="C164" i="6"/>
  <c r="B164" i="6"/>
  <c r="W140" i="6"/>
  <c r="V140" i="6"/>
  <c r="U140" i="6"/>
  <c r="S140" i="6"/>
  <c r="N140" i="6"/>
  <c r="L140" i="6"/>
  <c r="J140" i="6"/>
  <c r="H140" i="6"/>
  <c r="E140" i="6"/>
  <c r="D140" i="6"/>
  <c r="C140" i="6"/>
  <c r="B140" i="6"/>
  <c r="W141" i="6"/>
  <c r="V141" i="6"/>
  <c r="U141" i="6"/>
  <c r="S141" i="6"/>
  <c r="N141" i="6"/>
  <c r="L141" i="6"/>
  <c r="J141" i="6"/>
  <c r="H141" i="6"/>
  <c r="E141" i="6"/>
  <c r="D141" i="6"/>
  <c r="C141" i="6"/>
  <c r="B141" i="6"/>
  <c r="W123" i="6"/>
  <c r="V123" i="6"/>
  <c r="U123" i="6"/>
  <c r="S123" i="6"/>
  <c r="N123" i="6"/>
  <c r="L123" i="6"/>
  <c r="J123" i="6"/>
  <c r="H123" i="6"/>
  <c r="E123" i="6"/>
  <c r="D123" i="6"/>
  <c r="C123" i="6"/>
  <c r="B123" i="6"/>
  <c r="AB151" i="41"/>
  <c r="AB127" i="41"/>
  <c r="AB128" i="41"/>
  <c r="AB110" i="41"/>
  <c r="W94" i="6"/>
  <c r="V94" i="6"/>
  <c r="U94" i="6"/>
  <c r="S94" i="6"/>
  <c r="N94" i="6"/>
  <c r="L94" i="6"/>
  <c r="J94" i="6"/>
  <c r="H94" i="6"/>
  <c r="E94" i="6"/>
  <c r="D94" i="6"/>
  <c r="C94" i="6"/>
  <c r="B94" i="6"/>
  <c r="AB81" i="41"/>
  <c r="W81" i="6"/>
  <c r="V81" i="6"/>
  <c r="U81" i="6"/>
  <c r="S81" i="6"/>
  <c r="N81" i="6"/>
  <c r="L81" i="6"/>
  <c r="J81" i="6"/>
  <c r="H81" i="6"/>
  <c r="E81" i="6"/>
  <c r="D81" i="6"/>
  <c r="C81" i="6"/>
  <c r="B81" i="6"/>
  <c r="W62" i="6"/>
  <c r="V62" i="6"/>
  <c r="U62" i="6"/>
  <c r="S62" i="6"/>
  <c r="N62" i="6"/>
  <c r="L62" i="6"/>
  <c r="J62" i="6"/>
  <c r="H62" i="6"/>
  <c r="E62" i="6"/>
  <c r="D62" i="6"/>
  <c r="C62" i="6"/>
  <c r="B62" i="6"/>
  <c r="AB68" i="41"/>
  <c r="AB49" i="41"/>
  <c r="V39" i="6"/>
  <c r="U39" i="6"/>
  <c r="S39" i="6"/>
  <c r="N39" i="6"/>
  <c r="L39" i="6"/>
  <c r="J39" i="6"/>
  <c r="H39" i="6"/>
  <c r="E39" i="6"/>
  <c r="D39" i="6"/>
  <c r="C39" i="6"/>
  <c r="B39" i="6"/>
  <c r="W37" i="6"/>
  <c r="V37" i="6"/>
  <c r="U37" i="6"/>
  <c r="S37" i="6"/>
  <c r="N37" i="6"/>
  <c r="L37" i="6"/>
  <c r="J37" i="6"/>
  <c r="H37" i="6"/>
  <c r="E37" i="6"/>
  <c r="D37" i="6"/>
  <c r="C37" i="6"/>
  <c r="B37" i="6"/>
  <c r="W36" i="6"/>
  <c r="V36" i="6"/>
  <c r="U36" i="6"/>
  <c r="S36" i="6"/>
  <c r="N36" i="6"/>
  <c r="L36" i="6"/>
  <c r="J36" i="6"/>
  <c r="H36" i="6"/>
  <c r="E36" i="6"/>
  <c r="D36" i="6"/>
  <c r="C36" i="6"/>
  <c r="B36" i="6"/>
  <c r="W35" i="6"/>
  <c r="V35" i="6"/>
  <c r="U35" i="6"/>
  <c r="S35" i="6"/>
  <c r="N35" i="6"/>
  <c r="L35" i="6"/>
  <c r="J35" i="6"/>
  <c r="H35" i="6"/>
  <c r="E35" i="6"/>
  <c r="D35" i="6"/>
  <c r="C35" i="6"/>
  <c r="B35" i="6"/>
  <c r="AB26" i="41"/>
  <c r="AB23" i="41"/>
  <c r="AB22" i="41"/>
  <c r="AB24" i="41"/>
  <c r="W19" i="6"/>
  <c r="V19" i="6"/>
  <c r="U19" i="6"/>
  <c r="S19" i="6"/>
  <c r="N19" i="6"/>
  <c r="L19" i="6"/>
  <c r="J19" i="6"/>
  <c r="H19" i="6"/>
  <c r="E19" i="6"/>
  <c r="D19" i="6"/>
  <c r="C19" i="6"/>
  <c r="B19" i="6"/>
  <c r="AB6" i="41"/>
  <c r="W162" i="6" l="1"/>
  <c r="V162" i="6"/>
  <c r="U162" i="6"/>
  <c r="S162" i="6"/>
  <c r="N162" i="6"/>
  <c r="L162" i="6"/>
  <c r="J162" i="6"/>
  <c r="H162" i="6"/>
  <c r="E162" i="6"/>
  <c r="D162" i="6"/>
  <c r="C162" i="6"/>
  <c r="B162" i="6"/>
  <c r="AB149" i="41"/>
  <c r="W356" i="6"/>
  <c r="V356" i="6"/>
  <c r="U356" i="6"/>
  <c r="S356" i="6"/>
  <c r="N356" i="6"/>
  <c r="L356" i="6"/>
  <c r="J356" i="6"/>
  <c r="H356" i="6"/>
  <c r="E356" i="6"/>
  <c r="D356" i="6"/>
  <c r="C356" i="6"/>
  <c r="B356" i="6"/>
  <c r="AB343" i="41"/>
  <c r="W498" i="6"/>
  <c r="V498" i="6"/>
  <c r="U498" i="6"/>
  <c r="S498" i="6"/>
  <c r="N498" i="6"/>
  <c r="L498" i="6"/>
  <c r="J498" i="6"/>
  <c r="H498" i="6"/>
  <c r="E498" i="6"/>
  <c r="D498" i="6"/>
  <c r="C498" i="6"/>
  <c r="B498" i="6"/>
  <c r="AB485" i="41"/>
  <c r="W293" i="6"/>
  <c r="V293" i="6"/>
  <c r="U293" i="6"/>
  <c r="S293" i="6"/>
  <c r="N293" i="6"/>
  <c r="L293" i="6"/>
  <c r="J293" i="6"/>
  <c r="H293" i="6"/>
  <c r="E293" i="6"/>
  <c r="D293" i="6"/>
  <c r="C293" i="6"/>
  <c r="B293" i="6"/>
  <c r="AB280" i="41"/>
  <c r="AB225" i="41"/>
  <c r="W567" i="6" l="1"/>
  <c r="V567" i="6"/>
  <c r="U567" i="6"/>
  <c r="S567" i="6"/>
  <c r="N567" i="6"/>
  <c r="L567" i="6"/>
  <c r="J567" i="6"/>
  <c r="H567" i="6"/>
  <c r="E567" i="6"/>
  <c r="D567" i="6"/>
  <c r="C567" i="6"/>
  <c r="B567" i="6"/>
  <c r="AB444" i="41"/>
  <c r="AB443" i="41"/>
  <c r="AB442" i="41"/>
  <c r="AB441" i="41"/>
  <c r="V414" i="6"/>
  <c r="U414" i="6"/>
  <c r="S414" i="6"/>
  <c r="N414" i="6"/>
  <c r="L414" i="6"/>
  <c r="J414" i="6"/>
  <c r="H414" i="6"/>
  <c r="E414" i="6"/>
  <c r="D414" i="6"/>
  <c r="C414" i="6"/>
  <c r="B414" i="6"/>
  <c r="W413" i="6"/>
  <c r="V413" i="6"/>
  <c r="U413" i="6"/>
  <c r="S413" i="6"/>
  <c r="N413" i="6"/>
  <c r="L413" i="6"/>
  <c r="J413" i="6"/>
  <c r="H413" i="6"/>
  <c r="E413" i="6"/>
  <c r="D413" i="6"/>
  <c r="C413" i="6"/>
  <c r="B413" i="6"/>
  <c r="W412" i="6"/>
  <c r="V412" i="6"/>
  <c r="U412" i="6"/>
  <c r="S412" i="6"/>
  <c r="N412" i="6"/>
  <c r="L412" i="6"/>
  <c r="J412" i="6"/>
  <c r="H412" i="6"/>
  <c r="E412" i="6"/>
  <c r="D412" i="6"/>
  <c r="C412" i="6"/>
  <c r="B412" i="6"/>
  <c r="W391" i="6"/>
  <c r="V391" i="6"/>
  <c r="U391" i="6"/>
  <c r="S391" i="6"/>
  <c r="N391" i="6"/>
  <c r="L391" i="6"/>
  <c r="J391" i="6"/>
  <c r="H391" i="6"/>
  <c r="E391" i="6"/>
  <c r="D391" i="6"/>
  <c r="C391" i="6"/>
  <c r="B391" i="6"/>
  <c r="AB378" i="41"/>
  <c r="W376" i="6"/>
  <c r="V376" i="6"/>
  <c r="U376" i="6"/>
  <c r="S376" i="6"/>
  <c r="N376" i="6"/>
  <c r="L376" i="6"/>
  <c r="J376" i="6"/>
  <c r="H376" i="6"/>
  <c r="E376" i="6"/>
  <c r="D376" i="6"/>
  <c r="C376" i="6"/>
  <c r="B376" i="6"/>
  <c r="W373" i="6"/>
  <c r="V373" i="6"/>
  <c r="U373" i="6"/>
  <c r="S373" i="6"/>
  <c r="N373" i="6"/>
  <c r="L373" i="6"/>
  <c r="J373" i="6"/>
  <c r="H373" i="6"/>
  <c r="E373" i="6"/>
  <c r="D373" i="6"/>
  <c r="C373" i="6"/>
  <c r="B373" i="6"/>
  <c r="AB363" i="41"/>
  <c r="AB360" i="41"/>
  <c r="W260" i="6"/>
  <c r="V260" i="6"/>
  <c r="U260" i="6"/>
  <c r="S260" i="6"/>
  <c r="N260" i="6"/>
  <c r="L260" i="6"/>
  <c r="J260" i="6"/>
  <c r="H260" i="6"/>
  <c r="E260" i="6"/>
  <c r="D260" i="6"/>
  <c r="C260" i="6"/>
  <c r="B260" i="6"/>
  <c r="AB247" i="41"/>
  <c r="W227" i="6"/>
  <c r="V227" i="6"/>
  <c r="U227" i="6"/>
  <c r="S227" i="6"/>
  <c r="N227" i="6"/>
  <c r="L227" i="6"/>
  <c r="J227" i="6"/>
  <c r="H227" i="6"/>
  <c r="E227" i="6"/>
  <c r="D227" i="6"/>
  <c r="C227" i="6"/>
  <c r="B227" i="6"/>
  <c r="W213" i="6"/>
  <c r="V213" i="6"/>
  <c r="U213" i="6"/>
  <c r="S213" i="6"/>
  <c r="N213" i="6"/>
  <c r="L213" i="6"/>
  <c r="J213" i="6"/>
  <c r="H213" i="6"/>
  <c r="E213" i="6"/>
  <c r="D213" i="6"/>
  <c r="C213" i="6"/>
  <c r="B213" i="6"/>
  <c r="W214" i="6"/>
  <c r="V214" i="6"/>
  <c r="U214" i="6"/>
  <c r="S214" i="6"/>
  <c r="N214" i="6"/>
  <c r="L214" i="6"/>
  <c r="J214" i="6"/>
  <c r="H214" i="6"/>
  <c r="E214" i="6"/>
  <c r="D214" i="6"/>
  <c r="C214" i="6"/>
  <c r="B214" i="6"/>
  <c r="W205" i="6"/>
  <c r="V205" i="6"/>
  <c r="U205" i="6"/>
  <c r="S205" i="6"/>
  <c r="N205" i="6"/>
  <c r="L205" i="6"/>
  <c r="J205" i="6"/>
  <c r="H205" i="6"/>
  <c r="E205" i="6"/>
  <c r="D205" i="6"/>
  <c r="C205" i="6"/>
  <c r="B205" i="6"/>
  <c r="AB214" i="41"/>
  <c r="AB201" i="41"/>
  <c r="AB200" i="41"/>
  <c r="AB192" i="41"/>
  <c r="AB554" i="41"/>
  <c r="W120" i="6"/>
  <c r="V120" i="6"/>
  <c r="U120" i="6"/>
  <c r="S120" i="6"/>
  <c r="N120" i="6"/>
  <c r="L120" i="6"/>
  <c r="J120" i="6"/>
  <c r="H120" i="6"/>
  <c r="E120" i="6"/>
  <c r="D120" i="6"/>
  <c r="C120" i="6"/>
  <c r="B120" i="6"/>
  <c r="W76" i="6"/>
  <c r="V76" i="6"/>
  <c r="U76" i="6"/>
  <c r="S76" i="6"/>
  <c r="N76" i="6"/>
  <c r="L76" i="6"/>
  <c r="J76" i="6"/>
  <c r="H76" i="6"/>
  <c r="E76" i="6"/>
  <c r="D76" i="6"/>
  <c r="C76" i="6"/>
  <c r="B76" i="6"/>
  <c r="AB63" i="41"/>
  <c r="V57" i="6"/>
  <c r="U57" i="6"/>
  <c r="S57" i="6"/>
  <c r="N57" i="6"/>
  <c r="L57" i="6"/>
  <c r="J57" i="6"/>
  <c r="H57" i="6"/>
  <c r="E57" i="6"/>
  <c r="D57" i="6"/>
  <c r="C57" i="6"/>
  <c r="B57" i="6"/>
  <c r="AB44" i="41"/>
  <c r="W341" i="6"/>
  <c r="V341" i="6"/>
  <c r="U341" i="6"/>
  <c r="S341" i="6"/>
  <c r="N341" i="6"/>
  <c r="L341" i="6"/>
  <c r="J341" i="6"/>
  <c r="H341" i="6"/>
  <c r="E341" i="6"/>
  <c r="D341" i="6"/>
  <c r="C341" i="6"/>
  <c r="B341" i="6"/>
  <c r="AB328" i="41"/>
  <c r="W379" i="6"/>
  <c r="V379" i="6"/>
  <c r="U379" i="6"/>
  <c r="S379" i="6"/>
  <c r="N379" i="6"/>
  <c r="L379" i="6"/>
  <c r="J379" i="6"/>
  <c r="H379" i="6"/>
  <c r="E379" i="6"/>
  <c r="D379" i="6"/>
  <c r="C379" i="6"/>
  <c r="B379" i="6"/>
  <c r="AB366" i="41"/>
  <c r="W206" i="6"/>
  <c r="V206" i="6"/>
  <c r="U206" i="6"/>
  <c r="S206" i="6"/>
  <c r="N206" i="6"/>
  <c r="L206" i="6"/>
  <c r="J206" i="6"/>
  <c r="H206" i="6"/>
  <c r="E206" i="6"/>
  <c r="D206" i="6"/>
  <c r="C206" i="6"/>
  <c r="B206" i="6"/>
  <c r="AB193" i="41"/>
  <c r="W88" i="6"/>
  <c r="V88" i="6"/>
  <c r="U88" i="6"/>
  <c r="S88" i="6"/>
  <c r="N88" i="6"/>
  <c r="L88" i="6"/>
  <c r="J88" i="6"/>
  <c r="H88" i="6"/>
  <c r="E88" i="6"/>
  <c r="D88" i="6"/>
  <c r="C88" i="6"/>
  <c r="B88" i="6"/>
  <c r="W230" i="6"/>
  <c r="V230" i="6"/>
  <c r="U230" i="6"/>
  <c r="S230" i="6"/>
  <c r="N230" i="6"/>
  <c r="L230" i="6"/>
  <c r="J230" i="6"/>
  <c r="H230" i="6"/>
  <c r="E230" i="6"/>
  <c r="D230" i="6"/>
  <c r="C230" i="6"/>
  <c r="B230" i="6"/>
  <c r="AB75" i="41"/>
  <c r="AB217" i="41"/>
  <c r="V489" i="6"/>
  <c r="U489" i="6"/>
  <c r="S489" i="6"/>
  <c r="N489" i="6"/>
  <c r="L489" i="6"/>
  <c r="J489" i="6"/>
  <c r="H489" i="6"/>
  <c r="E489" i="6"/>
  <c r="D489" i="6"/>
  <c r="C489" i="6"/>
  <c r="B489" i="6"/>
  <c r="AB476" i="41"/>
  <c r="W270" i="6"/>
  <c r="V270" i="6"/>
  <c r="U270" i="6"/>
  <c r="S270" i="6"/>
  <c r="N270" i="6"/>
  <c r="L270" i="6"/>
  <c r="J270" i="6"/>
  <c r="H270" i="6"/>
  <c r="E270" i="6"/>
  <c r="D270" i="6"/>
  <c r="C270" i="6"/>
  <c r="B270" i="6"/>
  <c r="AB257" i="41"/>
  <c r="W17" i="6"/>
  <c r="V17" i="6"/>
  <c r="U17" i="6"/>
  <c r="S17" i="6"/>
  <c r="N17" i="6"/>
  <c r="L17" i="6"/>
  <c r="J17" i="6"/>
  <c r="H17" i="6"/>
  <c r="E17" i="6"/>
  <c r="D17" i="6"/>
  <c r="C17" i="6"/>
  <c r="B17" i="6"/>
  <c r="AB4" i="41"/>
  <c r="W282" i="6"/>
  <c r="V282" i="6"/>
  <c r="U282" i="6"/>
  <c r="S282" i="6"/>
  <c r="N282" i="6"/>
  <c r="L282" i="6"/>
  <c r="J282" i="6"/>
  <c r="H282" i="6"/>
  <c r="E282" i="6"/>
  <c r="D282" i="6"/>
  <c r="C282" i="6"/>
  <c r="B282" i="6"/>
  <c r="W288" i="6"/>
  <c r="V288" i="6"/>
  <c r="U288" i="6"/>
  <c r="S288" i="6"/>
  <c r="N288" i="6"/>
  <c r="L288" i="6"/>
  <c r="J288" i="6"/>
  <c r="H288" i="6"/>
  <c r="E288" i="6"/>
  <c r="D288" i="6"/>
  <c r="C288" i="6"/>
  <c r="B288" i="6"/>
  <c r="AB275" i="41"/>
  <c r="AB269" i="41"/>
  <c r="W168" i="6" l="1"/>
  <c r="V168" i="6"/>
  <c r="U168" i="6"/>
  <c r="S168" i="6"/>
  <c r="N168" i="6"/>
  <c r="L168" i="6"/>
  <c r="J168" i="6"/>
  <c r="H168" i="6"/>
  <c r="E168" i="6"/>
  <c r="D168" i="6"/>
  <c r="C168" i="6"/>
  <c r="B168" i="6"/>
  <c r="W350" i="6"/>
  <c r="V350" i="6"/>
  <c r="U350" i="6"/>
  <c r="S350" i="6"/>
  <c r="N350" i="6"/>
  <c r="L350" i="6"/>
  <c r="J350" i="6"/>
  <c r="H350" i="6"/>
  <c r="E350" i="6"/>
  <c r="D350" i="6"/>
  <c r="C350" i="6"/>
  <c r="B350" i="6"/>
  <c r="W429" i="6"/>
  <c r="V429" i="6"/>
  <c r="U429" i="6"/>
  <c r="S429" i="6"/>
  <c r="N429" i="6"/>
  <c r="L429" i="6"/>
  <c r="J429" i="6"/>
  <c r="H429" i="6"/>
  <c r="E429" i="6"/>
  <c r="D429" i="6"/>
  <c r="C429" i="6"/>
  <c r="B429" i="6"/>
  <c r="AB416" i="41"/>
  <c r="AB155" i="41"/>
  <c r="AB337" i="41"/>
  <c r="W285" i="6"/>
  <c r="V285" i="6"/>
  <c r="U285" i="6"/>
  <c r="S285" i="6"/>
  <c r="N285" i="6"/>
  <c r="L285" i="6"/>
  <c r="J285" i="6"/>
  <c r="H285" i="6"/>
  <c r="E285" i="6"/>
  <c r="D285" i="6"/>
  <c r="C285" i="6"/>
  <c r="B285" i="6"/>
  <c r="AB272" i="41"/>
  <c r="W236" i="6"/>
  <c r="V236" i="6"/>
  <c r="U236" i="6"/>
  <c r="S236" i="6"/>
  <c r="N236" i="6"/>
  <c r="L236" i="6"/>
  <c r="J236" i="6"/>
  <c r="H236" i="6"/>
  <c r="E236" i="6"/>
  <c r="D236" i="6"/>
  <c r="C236" i="6"/>
  <c r="B236" i="6"/>
  <c r="AB223" i="41"/>
  <c r="W38" i="6"/>
  <c r="V38" i="6"/>
  <c r="U38" i="6"/>
  <c r="S38" i="6"/>
  <c r="N38" i="6"/>
  <c r="L38" i="6"/>
  <c r="J38" i="6"/>
  <c r="H38" i="6"/>
  <c r="E38" i="6"/>
  <c r="D38" i="6"/>
  <c r="C38" i="6"/>
  <c r="B38" i="6"/>
  <c r="AB25" i="41"/>
  <c r="W175" i="6"/>
  <c r="V175" i="6"/>
  <c r="U175" i="6"/>
  <c r="S175" i="6"/>
  <c r="N175" i="6"/>
  <c r="L175" i="6"/>
  <c r="J175" i="6"/>
  <c r="H175" i="6"/>
  <c r="E175" i="6"/>
  <c r="D175" i="6"/>
  <c r="C175" i="6"/>
  <c r="B175" i="6"/>
  <c r="AB162" i="41"/>
  <c r="W558" i="6"/>
  <c r="V558" i="6"/>
  <c r="U558" i="6"/>
  <c r="S558" i="6"/>
  <c r="N558" i="6"/>
  <c r="L558" i="6"/>
  <c r="J558" i="6"/>
  <c r="H558" i="6"/>
  <c r="E558" i="6"/>
  <c r="D558" i="6"/>
  <c r="C558" i="6"/>
  <c r="B558" i="6"/>
  <c r="W184" i="6"/>
  <c r="V184" i="6"/>
  <c r="U184" i="6"/>
  <c r="S184" i="6"/>
  <c r="N184" i="6"/>
  <c r="L184" i="6"/>
  <c r="J184" i="6"/>
  <c r="H184" i="6"/>
  <c r="E184" i="6"/>
  <c r="D184" i="6"/>
  <c r="C184" i="6"/>
  <c r="B184" i="6"/>
  <c r="AB171" i="41"/>
  <c r="AB545" i="41"/>
  <c r="W561" i="6"/>
  <c r="V561" i="6"/>
  <c r="U561" i="6"/>
  <c r="S561" i="6"/>
  <c r="N561" i="6"/>
  <c r="L561" i="6"/>
  <c r="J561" i="6"/>
  <c r="H561" i="6"/>
  <c r="E561" i="6"/>
  <c r="D561" i="6"/>
  <c r="C561" i="6"/>
  <c r="B561" i="6"/>
  <c r="AB548" i="41"/>
  <c r="W133" i="6"/>
  <c r="V133" i="6"/>
  <c r="U133" i="6"/>
  <c r="S133" i="6"/>
  <c r="N133" i="6"/>
  <c r="L133" i="6"/>
  <c r="J133" i="6"/>
  <c r="H133" i="6"/>
  <c r="E133" i="6"/>
  <c r="D133" i="6"/>
  <c r="C133" i="6"/>
  <c r="B133" i="6"/>
  <c r="AB120" i="41"/>
  <c r="W252" i="6"/>
  <c r="V252" i="6"/>
  <c r="U252" i="6"/>
  <c r="S252" i="6"/>
  <c r="N252" i="6"/>
  <c r="L252" i="6"/>
  <c r="J252" i="6"/>
  <c r="H252" i="6"/>
  <c r="E252" i="6"/>
  <c r="D252" i="6"/>
  <c r="C252" i="6"/>
  <c r="B252" i="6"/>
  <c r="AB239" i="41"/>
  <c r="W118" i="6"/>
  <c r="V118" i="6"/>
  <c r="U118" i="6"/>
  <c r="S118" i="6"/>
  <c r="N118" i="6"/>
  <c r="L118" i="6"/>
  <c r="J118" i="6"/>
  <c r="H118" i="6"/>
  <c r="E118" i="6"/>
  <c r="D118" i="6"/>
  <c r="C118" i="6"/>
  <c r="B118" i="6"/>
  <c r="W431" i="6"/>
  <c r="V431" i="6"/>
  <c r="U431" i="6"/>
  <c r="S431" i="6"/>
  <c r="N431" i="6"/>
  <c r="L431" i="6"/>
  <c r="J431" i="6"/>
  <c r="H431" i="6"/>
  <c r="E431" i="6"/>
  <c r="D431" i="6"/>
  <c r="C431" i="6"/>
  <c r="B431" i="6"/>
  <c r="AB418" i="41"/>
  <c r="W424" i="6"/>
  <c r="V424" i="6"/>
  <c r="U424" i="6"/>
  <c r="S424" i="6"/>
  <c r="N424" i="6"/>
  <c r="L424" i="6"/>
  <c r="J424" i="6"/>
  <c r="H424" i="6"/>
  <c r="E424" i="6"/>
  <c r="D424" i="6"/>
  <c r="C424" i="6"/>
  <c r="B424" i="6"/>
  <c r="AB411" i="41"/>
  <c r="W340" i="6"/>
  <c r="V340" i="6"/>
  <c r="U340" i="6"/>
  <c r="S340" i="6"/>
  <c r="N340" i="6"/>
  <c r="L340" i="6"/>
  <c r="J340" i="6"/>
  <c r="H340" i="6"/>
  <c r="E340" i="6"/>
  <c r="D340" i="6"/>
  <c r="C340" i="6"/>
  <c r="B340" i="6"/>
  <c r="AB327" i="41"/>
  <c r="V169" i="6"/>
  <c r="U169" i="6"/>
  <c r="S169" i="6"/>
  <c r="N169" i="6"/>
  <c r="L169" i="6"/>
  <c r="J169" i="6"/>
  <c r="H169" i="6"/>
  <c r="E169" i="6"/>
  <c r="D169" i="6"/>
  <c r="C169" i="6"/>
  <c r="B169" i="6"/>
  <c r="W163" i="6"/>
  <c r="V163" i="6"/>
  <c r="U163" i="6"/>
  <c r="S163" i="6"/>
  <c r="N163" i="6"/>
  <c r="L163" i="6"/>
  <c r="J163" i="6"/>
  <c r="H163" i="6"/>
  <c r="E163" i="6"/>
  <c r="D163" i="6"/>
  <c r="C163" i="6"/>
  <c r="B163" i="6"/>
  <c r="AB156" i="41"/>
  <c r="AB150" i="41"/>
  <c r="W173" i="6"/>
  <c r="V173" i="6"/>
  <c r="U173" i="6"/>
  <c r="S173" i="6"/>
  <c r="N173" i="6"/>
  <c r="L173" i="6"/>
  <c r="J173" i="6"/>
  <c r="H173" i="6"/>
  <c r="E173" i="6"/>
  <c r="D173" i="6"/>
  <c r="C173" i="6"/>
  <c r="B173" i="6"/>
  <c r="AB160" i="41"/>
  <c r="W442" i="6"/>
  <c r="V442" i="6"/>
  <c r="U442" i="6"/>
  <c r="S442" i="6"/>
  <c r="N442" i="6"/>
  <c r="L442" i="6"/>
  <c r="J442" i="6"/>
  <c r="H442" i="6"/>
  <c r="E442" i="6"/>
  <c r="D442" i="6"/>
  <c r="C442" i="6"/>
  <c r="B442" i="6"/>
  <c r="AB429" i="41"/>
  <c r="AB424" i="41"/>
  <c r="W428" i="6"/>
  <c r="V428" i="6"/>
  <c r="U428" i="6"/>
  <c r="S428" i="6"/>
  <c r="N428" i="6"/>
  <c r="L428" i="6"/>
  <c r="J428" i="6"/>
  <c r="H428" i="6"/>
  <c r="E428" i="6"/>
  <c r="D428" i="6"/>
  <c r="C428" i="6"/>
  <c r="B428" i="6"/>
  <c r="W421" i="6"/>
  <c r="V421" i="6"/>
  <c r="U421" i="6"/>
  <c r="S421" i="6"/>
  <c r="N421" i="6"/>
  <c r="L421" i="6"/>
  <c r="J421" i="6"/>
  <c r="H421" i="6"/>
  <c r="E421" i="6"/>
  <c r="D421" i="6"/>
  <c r="C421" i="6"/>
  <c r="B421" i="6"/>
  <c r="AB415" i="41"/>
  <c r="AB408" i="41"/>
  <c r="AB401" i="41"/>
  <c r="W287" i="6"/>
  <c r="V287" i="6"/>
  <c r="U287" i="6"/>
  <c r="S287" i="6"/>
  <c r="N287" i="6"/>
  <c r="L287" i="6"/>
  <c r="J287" i="6"/>
  <c r="H287" i="6"/>
  <c r="E287" i="6"/>
  <c r="D287" i="6"/>
  <c r="C287" i="6"/>
  <c r="B287" i="6"/>
  <c r="AB274" i="41"/>
  <c r="W73" i="6"/>
  <c r="V73" i="6"/>
  <c r="U73" i="6"/>
  <c r="S73" i="6"/>
  <c r="N73" i="6"/>
  <c r="L73" i="6"/>
  <c r="J73" i="6"/>
  <c r="H73" i="6"/>
  <c r="E73" i="6"/>
  <c r="D73" i="6"/>
  <c r="C73" i="6"/>
  <c r="B73" i="6"/>
  <c r="AB60" i="41"/>
  <c r="W31" i="6"/>
  <c r="V31" i="6"/>
  <c r="U31" i="6"/>
  <c r="S31" i="6"/>
  <c r="N31" i="6"/>
  <c r="L31" i="6"/>
  <c r="J31" i="6"/>
  <c r="H31" i="6"/>
  <c r="E31" i="6"/>
  <c r="D31" i="6"/>
  <c r="C31" i="6"/>
  <c r="B31" i="6"/>
  <c r="W18" i="6"/>
  <c r="V18" i="6"/>
  <c r="U18" i="6"/>
  <c r="S18" i="6"/>
  <c r="N18" i="6"/>
  <c r="L18" i="6"/>
  <c r="J18" i="6"/>
  <c r="H18" i="6"/>
  <c r="E18" i="6"/>
  <c r="D18" i="6"/>
  <c r="C18" i="6"/>
  <c r="B18" i="6"/>
  <c r="AB5" i="41"/>
  <c r="AB18" i="41"/>
  <c r="W439" i="6"/>
  <c r="V439" i="6"/>
  <c r="U439" i="6"/>
  <c r="S439" i="6"/>
  <c r="N439" i="6"/>
  <c r="L439" i="6"/>
  <c r="J439" i="6"/>
  <c r="H439" i="6"/>
  <c r="E439" i="6"/>
  <c r="D439" i="6"/>
  <c r="C439" i="6"/>
  <c r="B439" i="6"/>
  <c r="W436" i="6"/>
  <c r="V436" i="6"/>
  <c r="U436" i="6"/>
  <c r="S436" i="6"/>
  <c r="N436" i="6"/>
  <c r="L436" i="6"/>
  <c r="J436" i="6"/>
  <c r="H436" i="6"/>
  <c r="E436" i="6"/>
  <c r="D436" i="6"/>
  <c r="C436" i="6"/>
  <c r="B436" i="6"/>
  <c r="W435" i="6"/>
  <c r="V435" i="6"/>
  <c r="U435" i="6"/>
  <c r="S435" i="6"/>
  <c r="N435" i="6"/>
  <c r="L435" i="6"/>
  <c r="J435" i="6"/>
  <c r="H435" i="6"/>
  <c r="E435" i="6"/>
  <c r="D435" i="6"/>
  <c r="C435" i="6"/>
  <c r="B435" i="6"/>
  <c r="W434" i="6"/>
  <c r="V434" i="6"/>
  <c r="U434" i="6"/>
  <c r="S434" i="6"/>
  <c r="N434" i="6"/>
  <c r="L434" i="6"/>
  <c r="J434" i="6"/>
  <c r="H434" i="6"/>
  <c r="E434" i="6"/>
  <c r="D434" i="6"/>
  <c r="C434" i="6"/>
  <c r="B434" i="6"/>
  <c r="W433" i="6"/>
  <c r="V433" i="6"/>
  <c r="U433" i="6"/>
  <c r="S433" i="6"/>
  <c r="N433" i="6"/>
  <c r="L433" i="6"/>
  <c r="J433" i="6"/>
  <c r="H433" i="6"/>
  <c r="E433" i="6"/>
  <c r="D433" i="6"/>
  <c r="C433" i="6"/>
  <c r="B433" i="6"/>
  <c r="W430" i="6"/>
  <c r="V430" i="6"/>
  <c r="U430" i="6"/>
  <c r="S430" i="6"/>
  <c r="N430" i="6"/>
  <c r="L430" i="6"/>
  <c r="J430" i="6"/>
  <c r="H430" i="6"/>
  <c r="E430" i="6"/>
  <c r="D430" i="6"/>
  <c r="C430" i="6"/>
  <c r="B430" i="6"/>
  <c r="W427" i="6"/>
  <c r="V427" i="6"/>
  <c r="U427" i="6"/>
  <c r="S427" i="6"/>
  <c r="N427" i="6"/>
  <c r="L427" i="6"/>
  <c r="J427" i="6"/>
  <c r="H427" i="6"/>
  <c r="E427" i="6"/>
  <c r="D427" i="6"/>
  <c r="C427" i="6"/>
  <c r="B427" i="6"/>
  <c r="W426" i="6"/>
  <c r="V426" i="6"/>
  <c r="U426" i="6"/>
  <c r="S426" i="6"/>
  <c r="N426" i="6"/>
  <c r="L426" i="6"/>
  <c r="J426" i="6"/>
  <c r="H426" i="6"/>
  <c r="E426" i="6"/>
  <c r="D426" i="6"/>
  <c r="C426" i="6"/>
  <c r="B426" i="6"/>
  <c r="W425" i="6"/>
  <c r="V425" i="6"/>
  <c r="U425" i="6"/>
  <c r="S425" i="6"/>
  <c r="N425" i="6"/>
  <c r="L425" i="6"/>
  <c r="J425" i="6"/>
  <c r="H425" i="6"/>
  <c r="E425" i="6"/>
  <c r="D425" i="6"/>
  <c r="C425" i="6"/>
  <c r="B425" i="6"/>
  <c r="W423" i="6"/>
  <c r="V423" i="6"/>
  <c r="U423" i="6"/>
  <c r="S423" i="6"/>
  <c r="N423" i="6"/>
  <c r="L423" i="6"/>
  <c r="J423" i="6"/>
  <c r="H423" i="6"/>
  <c r="E423" i="6"/>
  <c r="D423" i="6"/>
  <c r="C423" i="6"/>
  <c r="B423" i="6"/>
  <c r="W422" i="6"/>
  <c r="V422" i="6"/>
  <c r="U422" i="6"/>
  <c r="S422" i="6"/>
  <c r="N422" i="6"/>
  <c r="L422" i="6"/>
  <c r="J422" i="6"/>
  <c r="H422" i="6"/>
  <c r="E422" i="6"/>
  <c r="D422" i="6"/>
  <c r="C422" i="6"/>
  <c r="B422" i="6"/>
  <c r="AB410" i="41"/>
  <c r="W247" i="6"/>
  <c r="V247" i="6"/>
  <c r="U247" i="6"/>
  <c r="S247" i="6"/>
  <c r="N247" i="6"/>
  <c r="L247" i="6"/>
  <c r="J247" i="6"/>
  <c r="H247" i="6"/>
  <c r="E247" i="6"/>
  <c r="D247" i="6"/>
  <c r="C247" i="6"/>
  <c r="B247" i="6"/>
  <c r="AB234" i="41"/>
  <c r="W95" i="6"/>
  <c r="V95" i="6"/>
  <c r="U95" i="6"/>
  <c r="S95" i="6"/>
  <c r="N95" i="6"/>
  <c r="L95" i="6"/>
  <c r="J95" i="6"/>
  <c r="H95" i="6"/>
  <c r="E95" i="6"/>
  <c r="D95" i="6"/>
  <c r="C95" i="6"/>
  <c r="B95" i="6"/>
  <c r="AB82" i="41"/>
  <c r="W41" i="6"/>
  <c r="V41" i="6"/>
  <c r="U41" i="6"/>
  <c r="S41" i="6"/>
  <c r="N41" i="6"/>
  <c r="L41" i="6"/>
  <c r="J41" i="6"/>
  <c r="H41" i="6"/>
  <c r="E41" i="6"/>
  <c r="D41" i="6"/>
  <c r="C41" i="6"/>
  <c r="B41" i="6"/>
  <c r="AB28" i="41"/>
  <c r="W564" i="6"/>
  <c r="V564" i="6"/>
  <c r="U564" i="6"/>
  <c r="S564" i="6"/>
  <c r="N564" i="6"/>
  <c r="L564" i="6"/>
  <c r="J564" i="6"/>
  <c r="H564" i="6"/>
  <c r="E564" i="6"/>
  <c r="D564" i="6"/>
  <c r="C564" i="6"/>
  <c r="B564" i="6"/>
  <c r="W565" i="6"/>
  <c r="V565" i="6"/>
  <c r="U565" i="6"/>
  <c r="S565" i="6"/>
  <c r="N565" i="6"/>
  <c r="L565" i="6"/>
  <c r="J565" i="6"/>
  <c r="H565" i="6"/>
  <c r="E565" i="6"/>
  <c r="D565" i="6"/>
  <c r="C565" i="6"/>
  <c r="B565" i="6"/>
  <c r="W562" i="6"/>
  <c r="V562" i="6"/>
  <c r="U562" i="6"/>
  <c r="S562" i="6"/>
  <c r="N562" i="6"/>
  <c r="L562" i="6"/>
  <c r="J562" i="6"/>
  <c r="H562" i="6"/>
  <c r="E562" i="6"/>
  <c r="D562" i="6"/>
  <c r="C562" i="6"/>
  <c r="B562" i="6"/>
  <c r="W559" i="6"/>
  <c r="V559" i="6"/>
  <c r="U559" i="6"/>
  <c r="S559" i="6"/>
  <c r="N559" i="6"/>
  <c r="L559" i="6"/>
  <c r="J559" i="6"/>
  <c r="H559" i="6"/>
  <c r="E559" i="6"/>
  <c r="D559" i="6"/>
  <c r="C559" i="6"/>
  <c r="B559" i="6"/>
  <c r="W557" i="6"/>
  <c r="V557" i="6"/>
  <c r="U557" i="6"/>
  <c r="S557" i="6"/>
  <c r="N557" i="6"/>
  <c r="L557" i="6"/>
  <c r="J557" i="6"/>
  <c r="H557" i="6"/>
  <c r="E557" i="6"/>
  <c r="D557" i="6"/>
  <c r="C557" i="6"/>
  <c r="B557" i="6"/>
  <c r="W555" i="6"/>
  <c r="V555" i="6"/>
  <c r="U555" i="6"/>
  <c r="S555" i="6"/>
  <c r="N555" i="6"/>
  <c r="L555" i="6"/>
  <c r="J555" i="6"/>
  <c r="H555" i="6"/>
  <c r="E555" i="6"/>
  <c r="D555" i="6"/>
  <c r="C555" i="6"/>
  <c r="B555" i="6"/>
  <c r="W554" i="6"/>
  <c r="V554" i="6"/>
  <c r="U554" i="6"/>
  <c r="S554" i="6"/>
  <c r="N554" i="6"/>
  <c r="L554" i="6"/>
  <c r="J554" i="6"/>
  <c r="H554" i="6"/>
  <c r="E554" i="6"/>
  <c r="D554" i="6"/>
  <c r="C554" i="6"/>
  <c r="B554" i="6"/>
  <c r="W553" i="6"/>
  <c r="V553" i="6"/>
  <c r="U553" i="6"/>
  <c r="S553" i="6"/>
  <c r="N553" i="6"/>
  <c r="L553" i="6"/>
  <c r="J553" i="6"/>
  <c r="H553" i="6"/>
  <c r="E553" i="6"/>
  <c r="D553" i="6"/>
  <c r="C553" i="6"/>
  <c r="B553" i="6"/>
  <c r="W552" i="6"/>
  <c r="V552" i="6"/>
  <c r="U552" i="6"/>
  <c r="S552" i="6"/>
  <c r="N552" i="6"/>
  <c r="L552" i="6"/>
  <c r="J552" i="6"/>
  <c r="H552" i="6"/>
  <c r="E552" i="6"/>
  <c r="D552" i="6"/>
  <c r="C552" i="6"/>
  <c r="B552" i="6"/>
  <c r="W551" i="6"/>
  <c r="V551" i="6"/>
  <c r="U551" i="6"/>
  <c r="S551" i="6"/>
  <c r="N551" i="6"/>
  <c r="L551" i="6"/>
  <c r="J551" i="6"/>
  <c r="H551" i="6"/>
  <c r="E551" i="6"/>
  <c r="D551" i="6"/>
  <c r="C551" i="6"/>
  <c r="B551" i="6"/>
  <c r="W549" i="6"/>
  <c r="V549" i="6"/>
  <c r="U549" i="6"/>
  <c r="S549" i="6"/>
  <c r="N549" i="6"/>
  <c r="L549" i="6"/>
  <c r="J549" i="6"/>
  <c r="H549" i="6"/>
  <c r="E549" i="6"/>
  <c r="D549" i="6"/>
  <c r="C549" i="6"/>
  <c r="B549" i="6"/>
  <c r="W548" i="6"/>
  <c r="V548" i="6"/>
  <c r="U548" i="6"/>
  <c r="S548" i="6"/>
  <c r="N548" i="6"/>
  <c r="L548" i="6"/>
  <c r="J548" i="6"/>
  <c r="H548" i="6"/>
  <c r="E548" i="6"/>
  <c r="D548" i="6"/>
  <c r="C548" i="6"/>
  <c r="B548" i="6"/>
  <c r="W547" i="6"/>
  <c r="V547" i="6"/>
  <c r="U547" i="6"/>
  <c r="S547" i="6"/>
  <c r="N547" i="6"/>
  <c r="L547" i="6"/>
  <c r="J547" i="6"/>
  <c r="H547" i="6"/>
  <c r="E547" i="6"/>
  <c r="D547" i="6"/>
  <c r="C547" i="6"/>
  <c r="B547" i="6"/>
  <c r="W546" i="6"/>
  <c r="V546" i="6"/>
  <c r="U546" i="6"/>
  <c r="S546" i="6"/>
  <c r="N546" i="6"/>
  <c r="L546" i="6"/>
  <c r="J546" i="6"/>
  <c r="H546" i="6"/>
  <c r="E546" i="6"/>
  <c r="D546" i="6"/>
  <c r="C546" i="6"/>
  <c r="B546" i="6"/>
  <c r="W545" i="6"/>
  <c r="V545" i="6"/>
  <c r="U545" i="6"/>
  <c r="S545" i="6"/>
  <c r="N545" i="6"/>
  <c r="L545" i="6"/>
  <c r="J545" i="6"/>
  <c r="H545" i="6"/>
  <c r="E545" i="6"/>
  <c r="D545" i="6"/>
  <c r="C545" i="6"/>
  <c r="B545" i="6"/>
  <c r="W544" i="6"/>
  <c r="V544" i="6"/>
  <c r="U544" i="6"/>
  <c r="S544" i="6"/>
  <c r="N544" i="6"/>
  <c r="L544" i="6"/>
  <c r="J544" i="6"/>
  <c r="H544" i="6"/>
  <c r="E544" i="6"/>
  <c r="D544" i="6"/>
  <c r="C544" i="6"/>
  <c r="B544" i="6"/>
  <c r="W543" i="6"/>
  <c r="V543" i="6"/>
  <c r="U543" i="6"/>
  <c r="S543" i="6"/>
  <c r="N543" i="6"/>
  <c r="L543" i="6"/>
  <c r="J543" i="6"/>
  <c r="H543" i="6"/>
  <c r="E543" i="6"/>
  <c r="D543" i="6"/>
  <c r="C543" i="6"/>
  <c r="B543" i="6"/>
  <c r="W542" i="6"/>
  <c r="V542" i="6"/>
  <c r="U542" i="6"/>
  <c r="S542" i="6"/>
  <c r="N542" i="6"/>
  <c r="L542" i="6"/>
  <c r="J542" i="6"/>
  <c r="H542" i="6"/>
  <c r="E542" i="6"/>
  <c r="D542" i="6"/>
  <c r="C542" i="6"/>
  <c r="B542" i="6"/>
  <c r="W529" i="6"/>
  <c r="V529" i="6"/>
  <c r="U529" i="6"/>
  <c r="S529" i="6"/>
  <c r="N529" i="6"/>
  <c r="L529" i="6"/>
  <c r="J529" i="6"/>
  <c r="H529" i="6"/>
  <c r="E529" i="6"/>
  <c r="D529" i="6"/>
  <c r="C529" i="6"/>
  <c r="B529" i="6"/>
  <c r="W528" i="6"/>
  <c r="V528" i="6"/>
  <c r="U528" i="6"/>
  <c r="S528" i="6"/>
  <c r="N528" i="6"/>
  <c r="L528" i="6"/>
  <c r="J528" i="6"/>
  <c r="H528" i="6"/>
  <c r="E528" i="6"/>
  <c r="D528" i="6"/>
  <c r="C528" i="6"/>
  <c r="B528" i="6"/>
  <c r="W527" i="6"/>
  <c r="V527" i="6"/>
  <c r="U527" i="6"/>
  <c r="S527" i="6"/>
  <c r="N527" i="6"/>
  <c r="L527" i="6"/>
  <c r="J527" i="6"/>
  <c r="H527" i="6"/>
  <c r="E527" i="6"/>
  <c r="D527" i="6"/>
  <c r="C527" i="6"/>
  <c r="B527" i="6"/>
  <c r="W526" i="6"/>
  <c r="V526" i="6"/>
  <c r="U526" i="6"/>
  <c r="S526" i="6"/>
  <c r="N526" i="6"/>
  <c r="L526" i="6"/>
  <c r="J526" i="6"/>
  <c r="H526" i="6"/>
  <c r="E526" i="6"/>
  <c r="D526" i="6"/>
  <c r="C526" i="6"/>
  <c r="B526" i="6"/>
  <c r="W525" i="6"/>
  <c r="V525" i="6"/>
  <c r="U525" i="6"/>
  <c r="S525" i="6"/>
  <c r="N525" i="6"/>
  <c r="L525" i="6"/>
  <c r="J525" i="6"/>
  <c r="H525" i="6"/>
  <c r="E525" i="6"/>
  <c r="D525" i="6"/>
  <c r="C525" i="6"/>
  <c r="B525" i="6"/>
  <c r="W524" i="6"/>
  <c r="V524" i="6"/>
  <c r="U524" i="6"/>
  <c r="S524" i="6"/>
  <c r="N524" i="6"/>
  <c r="L524" i="6"/>
  <c r="J524" i="6"/>
  <c r="H524" i="6"/>
  <c r="E524" i="6"/>
  <c r="D524" i="6"/>
  <c r="C524" i="6"/>
  <c r="B524" i="6"/>
  <c r="W523" i="6"/>
  <c r="V523" i="6"/>
  <c r="U523" i="6"/>
  <c r="S523" i="6"/>
  <c r="N523" i="6"/>
  <c r="L523" i="6"/>
  <c r="J523" i="6"/>
  <c r="H523" i="6"/>
  <c r="E523" i="6"/>
  <c r="D523" i="6"/>
  <c r="C523" i="6"/>
  <c r="B523" i="6"/>
  <c r="W522" i="6"/>
  <c r="V522" i="6"/>
  <c r="U522" i="6"/>
  <c r="S522" i="6"/>
  <c r="N522" i="6"/>
  <c r="L522" i="6"/>
  <c r="J522" i="6"/>
  <c r="H522" i="6"/>
  <c r="E522" i="6"/>
  <c r="D522" i="6"/>
  <c r="C522" i="6"/>
  <c r="B522" i="6"/>
  <c r="W521" i="6"/>
  <c r="V521" i="6"/>
  <c r="U521" i="6"/>
  <c r="S521" i="6"/>
  <c r="N521" i="6"/>
  <c r="L521" i="6"/>
  <c r="J521" i="6"/>
  <c r="H521" i="6"/>
  <c r="E521" i="6"/>
  <c r="D521" i="6"/>
  <c r="C521" i="6"/>
  <c r="B521" i="6"/>
  <c r="W519" i="6"/>
  <c r="V519" i="6"/>
  <c r="U519" i="6"/>
  <c r="S519" i="6"/>
  <c r="N519" i="6"/>
  <c r="L519" i="6"/>
  <c r="J519" i="6"/>
  <c r="H519" i="6"/>
  <c r="E519" i="6"/>
  <c r="D519" i="6"/>
  <c r="C519" i="6"/>
  <c r="B519" i="6"/>
  <c r="W518" i="6"/>
  <c r="V518" i="6"/>
  <c r="U518" i="6"/>
  <c r="S518" i="6"/>
  <c r="N518" i="6"/>
  <c r="L518" i="6"/>
  <c r="J518" i="6"/>
  <c r="H518" i="6"/>
  <c r="E518" i="6"/>
  <c r="D518" i="6"/>
  <c r="C518" i="6"/>
  <c r="B518" i="6"/>
  <c r="W517" i="6"/>
  <c r="V517" i="6"/>
  <c r="U517" i="6"/>
  <c r="S517" i="6"/>
  <c r="N517" i="6"/>
  <c r="L517" i="6"/>
  <c r="J517" i="6"/>
  <c r="H517" i="6"/>
  <c r="E517" i="6"/>
  <c r="D517" i="6"/>
  <c r="C517" i="6"/>
  <c r="B517" i="6"/>
  <c r="W516" i="6"/>
  <c r="V516" i="6"/>
  <c r="U516" i="6"/>
  <c r="S516" i="6"/>
  <c r="N516" i="6"/>
  <c r="L516" i="6"/>
  <c r="J516" i="6"/>
  <c r="H516" i="6"/>
  <c r="E516" i="6"/>
  <c r="D516" i="6"/>
  <c r="C516" i="6"/>
  <c r="B516" i="6"/>
  <c r="W515" i="6"/>
  <c r="V515" i="6"/>
  <c r="U515" i="6"/>
  <c r="S515" i="6"/>
  <c r="N515" i="6"/>
  <c r="L515" i="6"/>
  <c r="J515" i="6"/>
  <c r="H515" i="6"/>
  <c r="E515" i="6"/>
  <c r="D515" i="6"/>
  <c r="C515" i="6"/>
  <c r="B515" i="6"/>
  <c r="W514" i="6"/>
  <c r="V514" i="6"/>
  <c r="U514" i="6"/>
  <c r="S514" i="6"/>
  <c r="N514" i="6"/>
  <c r="L514" i="6"/>
  <c r="J514" i="6"/>
  <c r="H514" i="6"/>
  <c r="E514" i="6"/>
  <c r="D514" i="6"/>
  <c r="C514" i="6"/>
  <c r="B514" i="6"/>
  <c r="W513" i="6"/>
  <c r="V513" i="6"/>
  <c r="U513" i="6"/>
  <c r="S513" i="6"/>
  <c r="N513" i="6"/>
  <c r="L513" i="6"/>
  <c r="J513" i="6"/>
  <c r="H513" i="6"/>
  <c r="E513" i="6"/>
  <c r="D513" i="6"/>
  <c r="C513" i="6"/>
  <c r="B513" i="6"/>
  <c r="AB540" i="41"/>
  <c r="AB539" i="41"/>
  <c r="AB538" i="41"/>
  <c r="AB534" i="41"/>
  <c r="AB533" i="41"/>
  <c r="AB536" i="41"/>
  <c r="AB535" i="41"/>
  <c r="V506" i="6"/>
  <c r="U506" i="6"/>
  <c r="S506" i="6"/>
  <c r="N506" i="6"/>
  <c r="L506" i="6"/>
  <c r="J506" i="6"/>
  <c r="H506" i="6"/>
  <c r="E506" i="6"/>
  <c r="D506" i="6"/>
  <c r="C506" i="6"/>
  <c r="B506" i="6"/>
  <c r="W505" i="6"/>
  <c r="V505" i="6"/>
  <c r="U505" i="6"/>
  <c r="S505" i="6"/>
  <c r="N505" i="6"/>
  <c r="L505" i="6"/>
  <c r="J505" i="6"/>
  <c r="H505" i="6"/>
  <c r="E505" i="6"/>
  <c r="D505" i="6"/>
  <c r="C505" i="6"/>
  <c r="B505" i="6"/>
  <c r="W504" i="6"/>
  <c r="V504" i="6"/>
  <c r="U504" i="6"/>
  <c r="S504" i="6"/>
  <c r="N504" i="6"/>
  <c r="L504" i="6"/>
  <c r="J504" i="6"/>
  <c r="H504" i="6"/>
  <c r="E504" i="6"/>
  <c r="D504" i="6"/>
  <c r="C504" i="6"/>
  <c r="B504" i="6"/>
  <c r="W503" i="6"/>
  <c r="V503" i="6"/>
  <c r="U503" i="6"/>
  <c r="S503" i="6"/>
  <c r="N503" i="6"/>
  <c r="L503" i="6"/>
  <c r="J503" i="6"/>
  <c r="H503" i="6"/>
  <c r="E503" i="6"/>
  <c r="D503" i="6"/>
  <c r="C503" i="6"/>
  <c r="B503" i="6"/>
  <c r="W501" i="6"/>
  <c r="V501" i="6"/>
  <c r="U501" i="6"/>
  <c r="S501" i="6"/>
  <c r="N501" i="6"/>
  <c r="L501" i="6"/>
  <c r="J501" i="6"/>
  <c r="H501" i="6"/>
  <c r="E501" i="6"/>
  <c r="D501" i="6"/>
  <c r="C501" i="6"/>
  <c r="B501" i="6"/>
  <c r="W497" i="6"/>
  <c r="V497" i="6"/>
  <c r="U497" i="6"/>
  <c r="S497" i="6"/>
  <c r="N497" i="6"/>
  <c r="L497" i="6"/>
  <c r="J497" i="6"/>
  <c r="H497" i="6"/>
  <c r="E497" i="6"/>
  <c r="D497" i="6"/>
  <c r="C497" i="6"/>
  <c r="B497" i="6"/>
  <c r="W492" i="6"/>
  <c r="V492" i="6"/>
  <c r="U492" i="6"/>
  <c r="S492" i="6"/>
  <c r="N492" i="6"/>
  <c r="L492" i="6"/>
  <c r="J492" i="6"/>
  <c r="H492" i="6"/>
  <c r="E492" i="6"/>
  <c r="D492" i="6"/>
  <c r="C492" i="6"/>
  <c r="B492" i="6"/>
  <c r="W496" i="6"/>
  <c r="V496" i="6"/>
  <c r="U496" i="6"/>
  <c r="S496" i="6"/>
  <c r="N496" i="6"/>
  <c r="L496" i="6"/>
  <c r="J496" i="6"/>
  <c r="H496" i="6"/>
  <c r="E496" i="6"/>
  <c r="D496" i="6"/>
  <c r="C496" i="6"/>
  <c r="B496" i="6"/>
  <c r="V495" i="6"/>
  <c r="U495" i="6"/>
  <c r="S495" i="6"/>
  <c r="N495" i="6"/>
  <c r="L495" i="6"/>
  <c r="J495" i="6"/>
  <c r="H495" i="6"/>
  <c r="E495" i="6"/>
  <c r="D495" i="6"/>
  <c r="C495" i="6"/>
  <c r="B495" i="6"/>
  <c r="W494" i="6"/>
  <c r="V494" i="6"/>
  <c r="U494" i="6"/>
  <c r="S494" i="6"/>
  <c r="N494" i="6"/>
  <c r="L494" i="6"/>
  <c r="J494" i="6"/>
  <c r="H494" i="6"/>
  <c r="E494" i="6"/>
  <c r="D494" i="6"/>
  <c r="C494" i="6"/>
  <c r="B494" i="6"/>
  <c r="W493" i="6"/>
  <c r="V493" i="6"/>
  <c r="U493" i="6"/>
  <c r="S493" i="6"/>
  <c r="N493" i="6"/>
  <c r="L493" i="6"/>
  <c r="J493" i="6"/>
  <c r="H493" i="6"/>
  <c r="E493" i="6"/>
  <c r="D493" i="6"/>
  <c r="C493" i="6"/>
  <c r="B493" i="6"/>
  <c r="W491" i="6"/>
  <c r="V491" i="6"/>
  <c r="U491" i="6"/>
  <c r="S491" i="6"/>
  <c r="N491" i="6"/>
  <c r="L491" i="6"/>
  <c r="J491" i="6"/>
  <c r="H491" i="6"/>
  <c r="E491" i="6"/>
  <c r="D491" i="6"/>
  <c r="C491" i="6"/>
  <c r="B491" i="6"/>
  <c r="W490" i="6"/>
  <c r="V490" i="6"/>
  <c r="U490" i="6"/>
  <c r="S490" i="6"/>
  <c r="N490" i="6"/>
  <c r="L490" i="6"/>
  <c r="J490" i="6"/>
  <c r="H490" i="6"/>
  <c r="E490" i="6"/>
  <c r="D490" i="6"/>
  <c r="C490" i="6"/>
  <c r="B490" i="6"/>
  <c r="W487" i="6"/>
  <c r="V487" i="6"/>
  <c r="U487" i="6"/>
  <c r="S487" i="6"/>
  <c r="N487" i="6"/>
  <c r="L487" i="6"/>
  <c r="J487" i="6"/>
  <c r="H487" i="6"/>
  <c r="E487" i="6"/>
  <c r="D487" i="6"/>
  <c r="C487" i="6"/>
  <c r="B487" i="6"/>
  <c r="W485" i="6"/>
  <c r="V485" i="6"/>
  <c r="U485" i="6"/>
  <c r="S485" i="6"/>
  <c r="N485" i="6"/>
  <c r="L485" i="6"/>
  <c r="J485" i="6"/>
  <c r="H485" i="6"/>
  <c r="E485" i="6"/>
  <c r="D485" i="6"/>
  <c r="C485" i="6"/>
  <c r="B485" i="6"/>
  <c r="W484" i="6"/>
  <c r="V484" i="6"/>
  <c r="U484" i="6"/>
  <c r="S484" i="6"/>
  <c r="N484" i="6"/>
  <c r="L484" i="6"/>
  <c r="J484" i="6"/>
  <c r="H484" i="6"/>
  <c r="E484" i="6"/>
  <c r="D484" i="6"/>
  <c r="C484" i="6"/>
  <c r="B484" i="6"/>
  <c r="W482" i="6"/>
  <c r="V482" i="6"/>
  <c r="U482" i="6"/>
  <c r="S482" i="6"/>
  <c r="N482" i="6"/>
  <c r="L482" i="6"/>
  <c r="J482" i="6"/>
  <c r="H482" i="6"/>
  <c r="E482" i="6"/>
  <c r="D482" i="6"/>
  <c r="C482" i="6"/>
  <c r="B482" i="6"/>
  <c r="V481" i="6"/>
  <c r="U481" i="6"/>
  <c r="S481" i="6"/>
  <c r="N481" i="6"/>
  <c r="L481" i="6"/>
  <c r="J481" i="6"/>
  <c r="H481" i="6"/>
  <c r="E481" i="6"/>
  <c r="D481" i="6"/>
  <c r="C481" i="6"/>
  <c r="B481" i="6"/>
  <c r="W483" i="6"/>
  <c r="V483" i="6"/>
  <c r="U483" i="6"/>
  <c r="S483" i="6"/>
  <c r="N483" i="6"/>
  <c r="L483" i="6"/>
  <c r="J483" i="6"/>
  <c r="H483" i="6"/>
  <c r="E483" i="6"/>
  <c r="D483" i="6"/>
  <c r="C483" i="6"/>
  <c r="B483" i="6"/>
  <c r="W480" i="6"/>
  <c r="V480" i="6"/>
  <c r="U480" i="6"/>
  <c r="S480" i="6"/>
  <c r="N480" i="6"/>
  <c r="L480" i="6"/>
  <c r="J480" i="6"/>
  <c r="H480" i="6"/>
  <c r="E480" i="6"/>
  <c r="D480" i="6"/>
  <c r="C480" i="6"/>
  <c r="B480" i="6"/>
  <c r="AB492" i="41"/>
  <c r="AB491" i="41"/>
  <c r="AB490" i="41"/>
  <c r="AB484" i="41"/>
  <c r="AB479" i="41"/>
  <c r="AB488" i="41"/>
  <c r="W473" i="6"/>
  <c r="V473" i="6"/>
  <c r="U473" i="6"/>
  <c r="S473" i="6"/>
  <c r="N473" i="6"/>
  <c r="L473" i="6"/>
  <c r="J473" i="6"/>
  <c r="H473" i="6"/>
  <c r="E473" i="6"/>
  <c r="D473" i="6"/>
  <c r="C473" i="6"/>
  <c r="B473" i="6"/>
  <c r="W472" i="6"/>
  <c r="V472" i="6"/>
  <c r="U472" i="6"/>
  <c r="S472" i="6"/>
  <c r="N472" i="6"/>
  <c r="L472" i="6"/>
  <c r="J472" i="6"/>
  <c r="H472" i="6"/>
  <c r="E472" i="6"/>
  <c r="D472" i="6"/>
  <c r="C472" i="6"/>
  <c r="B472" i="6"/>
  <c r="W471" i="6"/>
  <c r="V471" i="6"/>
  <c r="U471" i="6"/>
  <c r="S471" i="6"/>
  <c r="N471" i="6"/>
  <c r="L471" i="6"/>
  <c r="J471" i="6"/>
  <c r="H471" i="6"/>
  <c r="E471" i="6"/>
  <c r="D471" i="6"/>
  <c r="C471" i="6"/>
  <c r="B471" i="6"/>
  <c r="W469" i="6"/>
  <c r="V469" i="6"/>
  <c r="U469" i="6"/>
  <c r="S469" i="6"/>
  <c r="N469" i="6"/>
  <c r="L469" i="6"/>
  <c r="J469" i="6"/>
  <c r="H469" i="6"/>
  <c r="E469" i="6"/>
  <c r="D469" i="6"/>
  <c r="C469" i="6"/>
  <c r="B469" i="6"/>
  <c r="W468" i="6"/>
  <c r="V468" i="6"/>
  <c r="U468" i="6"/>
  <c r="S468" i="6"/>
  <c r="N468" i="6"/>
  <c r="L468" i="6"/>
  <c r="J468" i="6"/>
  <c r="H468" i="6"/>
  <c r="E468" i="6"/>
  <c r="D468" i="6"/>
  <c r="C468" i="6"/>
  <c r="B468" i="6"/>
  <c r="W467" i="6"/>
  <c r="V467" i="6"/>
  <c r="U467" i="6"/>
  <c r="S467" i="6"/>
  <c r="N467" i="6"/>
  <c r="L467" i="6"/>
  <c r="J467" i="6"/>
  <c r="H467" i="6"/>
  <c r="E467" i="6"/>
  <c r="D467" i="6"/>
  <c r="C467" i="6"/>
  <c r="B467" i="6"/>
  <c r="W466" i="6"/>
  <c r="V466" i="6"/>
  <c r="U466" i="6"/>
  <c r="S466" i="6"/>
  <c r="N466" i="6"/>
  <c r="L466" i="6"/>
  <c r="J466" i="6"/>
  <c r="H466" i="6"/>
  <c r="E466" i="6"/>
  <c r="D466" i="6"/>
  <c r="C466" i="6"/>
  <c r="B466" i="6"/>
  <c r="W465" i="6"/>
  <c r="V465" i="6"/>
  <c r="U465" i="6"/>
  <c r="S465" i="6"/>
  <c r="N465" i="6"/>
  <c r="L465" i="6"/>
  <c r="J465" i="6"/>
  <c r="H465" i="6"/>
  <c r="E465" i="6"/>
  <c r="D465" i="6"/>
  <c r="C465" i="6"/>
  <c r="B465" i="6"/>
  <c r="W463" i="6"/>
  <c r="V463" i="6"/>
  <c r="U463" i="6"/>
  <c r="S463" i="6"/>
  <c r="N463" i="6"/>
  <c r="L463" i="6"/>
  <c r="J463" i="6"/>
  <c r="H463" i="6"/>
  <c r="E463" i="6"/>
  <c r="D463" i="6"/>
  <c r="C463" i="6"/>
  <c r="B463" i="6"/>
  <c r="W462" i="6"/>
  <c r="V462" i="6"/>
  <c r="U462" i="6"/>
  <c r="S462" i="6"/>
  <c r="N462" i="6"/>
  <c r="L462" i="6"/>
  <c r="J462" i="6"/>
  <c r="H462" i="6"/>
  <c r="E462" i="6"/>
  <c r="D462" i="6"/>
  <c r="C462" i="6"/>
  <c r="B462" i="6"/>
  <c r="W459" i="6"/>
  <c r="V459" i="6"/>
  <c r="U459" i="6"/>
  <c r="S459" i="6"/>
  <c r="N459" i="6"/>
  <c r="L459" i="6"/>
  <c r="J459" i="6"/>
  <c r="H459" i="6"/>
  <c r="E459" i="6"/>
  <c r="D459" i="6"/>
  <c r="C459" i="6"/>
  <c r="B459" i="6"/>
  <c r="W460" i="6"/>
  <c r="V460" i="6"/>
  <c r="U460" i="6"/>
  <c r="S460" i="6"/>
  <c r="N460" i="6"/>
  <c r="L460" i="6"/>
  <c r="J460" i="6"/>
  <c r="H460" i="6"/>
  <c r="E460" i="6"/>
  <c r="D460" i="6"/>
  <c r="C460" i="6"/>
  <c r="B460" i="6"/>
  <c r="W458" i="6"/>
  <c r="V458" i="6"/>
  <c r="U458" i="6"/>
  <c r="S458" i="6"/>
  <c r="N458" i="6"/>
  <c r="L458" i="6"/>
  <c r="J458" i="6"/>
  <c r="H458" i="6"/>
  <c r="E458" i="6"/>
  <c r="D458" i="6"/>
  <c r="C458" i="6"/>
  <c r="B458" i="6"/>
  <c r="W457" i="6"/>
  <c r="V457" i="6"/>
  <c r="U457" i="6"/>
  <c r="S457" i="6"/>
  <c r="N457" i="6"/>
  <c r="L457" i="6"/>
  <c r="J457" i="6"/>
  <c r="H457" i="6"/>
  <c r="E457" i="6"/>
  <c r="D457" i="6"/>
  <c r="C457" i="6"/>
  <c r="B457" i="6"/>
  <c r="W456" i="6"/>
  <c r="V456" i="6"/>
  <c r="U456" i="6"/>
  <c r="S456" i="6"/>
  <c r="N456" i="6"/>
  <c r="L456" i="6"/>
  <c r="J456" i="6"/>
  <c r="H456" i="6"/>
  <c r="E456" i="6"/>
  <c r="D456" i="6"/>
  <c r="C456" i="6"/>
  <c r="B456" i="6"/>
  <c r="W455" i="6"/>
  <c r="V455" i="6"/>
  <c r="U455" i="6"/>
  <c r="S455" i="6"/>
  <c r="N455" i="6"/>
  <c r="L455" i="6"/>
  <c r="J455" i="6"/>
  <c r="H455" i="6"/>
  <c r="E455" i="6"/>
  <c r="D455" i="6"/>
  <c r="C455" i="6"/>
  <c r="B455" i="6"/>
  <c r="W454" i="6"/>
  <c r="V454" i="6"/>
  <c r="U454" i="6"/>
  <c r="S454" i="6"/>
  <c r="N454" i="6"/>
  <c r="L454" i="6"/>
  <c r="J454" i="6"/>
  <c r="H454" i="6"/>
  <c r="E454" i="6"/>
  <c r="D454" i="6"/>
  <c r="C454" i="6"/>
  <c r="B454" i="6"/>
  <c r="W453" i="6"/>
  <c r="V453" i="6"/>
  <c r="U453" i="6"/>
  <c r="S453" i="6"/>
  <c r="N453" i="6"/>
  <c r="L453" i="6"/>
  <c r="J453" i="6"/>
  <c r="H453" i="6"/>
  <c r="E453" i="6"/>
  <c r="D453" i="6"/>
  <c r="C453" i="6"/>
  <c r="B453" i="6"/>
  <c r="W452" i="6"/>
  <c r="V452" i="6"/>
  <c r="U452" i="6"/>
  <c r="S452" i="6"/>
  <c r="N452" i="6"/>
  <c r="L452" i="6"/>
  <c r="J452" i="6"/>
  <c r="H452" i="6"/>
  <c r="E452" i="6"/>
  <c r="D452" i="6"/>
  <c r="C452" i="6"/>
  <c r="B452" i="6"/>
  <c r="W451" i="6"/>
  <c r="V451" i="6"/>
  <c r="U451" i="6"/>
  <c r="S451" i="6"/>
  <c r="N451" i="6"/>
  <c r="L451" i="6"/>
  <c r="J451" i="6"/>
  <c r="H451" i="6"/>
  <c r="E451" i="6"/>
  <c r="D451" i="6"/>
  <c r="C451" i="6"/>
  <c r="B451" i="6"/>
  <c r="W450" i="6"/>
  <c r="V450" i="6"/>
  <c r="U450" i="6"/>
  <c r="S450" i="6"/>
  <c r="N450" i="6"/>
  <c r="L450" i="6"/>
  <c r="J450" i="6"/>
  <c r="H450" i="6"/>
  <c r="E450" i="6"/>
  <c r="D450" i="6"/>
  <c r="C450" i="6"/>
  <c r="B450" i="6"/>
  <c r="AB460" i="41"/>
  <c r="AB459" i="41"/>
  <c r="AB440" i="41"/>
  <c r="W444" i="6"/>
  <c r="V444" i="6"/>
  <c r="U444" i="6"/>
  <c r="S444" i="6"/>
  <c r="N444" i="6"/>
  <c r="L444" i="6"/>
  <c r="J444" i="6"/>
  <c r="H444" i="6"/>
  <c r="E444" i="6"/>
  <c r="D444" i="6"/>
  <c r="C444" i="6"/>
  <c r="B444" i="6"/>
  <c r="W443" i="6"/>
  <c r="V443" i="6"/>
  <c r="U443" i="6"/>
  <c r="S443" i="6"/>
  <c r="N443" i="6"/>
  <c r="L443" i="6"/>
  <c r="J443" i="6"/>
  <c r="H443" i="6"/>
  <c r="E443" i="6"/>
  <c r="D443" i="6"/>
  <c r="C443" i="6"/>
  <c r="B443" i="6"/>
  <c r="W441" i="6"/>
  <c r="V441" i="6"/>
  <c r="U441" i="6"/>
  <c r="S441" i="6"/>
  <c r="N441" i="6"/>
  <c r="L441" i="6"/>
  <c r="J441" i="6"/>
  <c r="H441" i="6"/>
  <c r="E441" i="6"/>
  <c r="D441" i="6"/>
  <c r="C441" i="6"/>
  <c r="B441" i="6"/>
  <c r="AB422" i="41"/>
  <c r="AB421" i="41"/>
  <c r="AB420" i="41"/>
  <c r="W411" i="6"/>
  <c r="V411" i="6"/>
  <c r="U411" i="6"/>
  <c r="S411" i="6"/>
  <c r="N411" i="6"/>
  <c r="L411" i="6"/>
  <c r="J411" i="6"/>
  <c r="H411" i="6"/>
  <c r="E411" i="6"/>
  <c r="D411" i="6"/>
  <c r="C411" i="6"/>
  <c r="B411" i="6"/>
  <c r="W409" i="6"/>
  <c r="V409" i="6"/>
  <c r="U409" i="6"/>
  <c r="S409" i="6"/>
  <c r="N409" i="6"/>
  <c r="L409" i="6"/>
  <c r="J409" i="6"/>
  <c r="H409" i="6"/>
  <c r="E409" i="6"/>
  <c r="D409" i="6"/>
  <c r="C409" i="6"/>
  <c r="B409" i="6"/>
  <c r="W406" i="6"/>
  <c r="V406" i="6"/>
  <c r="U406" i="6"/>
  <c r="S406" i="6"/>
  <c r="N406" i="6"/>
  <c r="L406" i="6"/>
  <c r="J406" i="6"/>
  <c r="H406" i="6"/>
  <c r="E406" i="6"/>
  <c r="D406" i="6"/>
  <c r="C406" i="6"/>
  <c r="B406" i="6"/>
  <c r="W405" i="6"/>
  <c r="V405" i="6"/>
  <c r="U405" i="6"/>
  <c r="S405" i="6"/>
  <c r="N405" i="6"/>
  <c r="L405" i="6"/>
  <c r="J405" i="6"/>
  <c r="H405" i="6"/>
  <c r="E405" i="6"/>
  <c r="D405" i="6"/>
  <c r="C405" i="6"/>
  <c r="B405" i="6"/>
  <c r="W404" i="6"/>
  <c r="V404" i="6"/>
  <c r="U404" i="6"/>
  <c r="S404" i="6"/>
  <c r="N404" i="6"/>
  <c r="L404" i="6"/>
  <c r="J404" i="6"/>
  <c r="H404" i="6"/>
  <c r="E404" i="6"/>
  <c r="D404" i="6"/>
  <c r="C404" i="6"/>
  <c r="B404" i="6"/>
  <c r="W403" i="6"/>
  <c r="V403" i="6"/>
  <c r="U403" i="6"/>
  <c r="S403" i="6"/>
  <c r="N403" i="6"/>
  <c r="L403" i="6"/>
  <c r="J403" i="6"/>
  <c r="H403" i="6"/>
  <c r="E403" i="6"/>
  <c r="D403" i="6"/>
  <c r="C403" i="6"/>
  <c r="B403" i="6"/>
  <c r="W401" i="6"/>
  <c r="V401" i="6"/>
  <c r="U401" i="6"/>
  <c r="S401" i="6"/>
  <c r="N401" i="6"/>
  <c r="L401" i="6"/>
  <c r="J401" i="6"/>
  <c r="H401" i="6"/>
  <c r="E401" i="6"/>
  <c r="D401" i="6"/>
  <c r="C401" i="6"/>
  <c r="B401" i="6"/>
  <c r="W399" i="6"/>
  <c r="V399" i="6"/>
  <c r="U399" i="6"/>
  <c r="S399" i="6"/>
  <c r="N399" i="6"/>
  <c r="L399" i="6"/>
  <c r="J399" i="6"/>
  <c r="H399" i="6"/>
  <c r="E399" i="6"/>
  <c r="D399" i="6"/>
  <c r="C399" i="6"/>
  <c r="B399" i="6"/>
  <c r="W398" i="6"/>
  <c r="V398" i="6"/>
  <c r="U398" i="6"/>
  <c r="S398" i="6"/>
  <c r="N398" i="6"/>
  <c r="L398" i="6"/>
  <c r="J398" i="6"/>
  <c r="H398" i="6"/>
  <c r="E398" i="6"/>
  <c r="D398" i="6"/>
  <c r="C398" i="6"/>
  <c r="B398" i="6"/>
  <c r="W396" i="6"/>
  <c r="V396" i="6"/>
  <c r="U396" i="6"/>
  <c r="S396" i="6"/>
  <c r="N396" i="6"/>
  <c r="L396" i="6"/>
  <c r="J396" i="6"/>
  <c r="H396" i="6"/>
  <c r="E396" i="6"/>
  <c r="D396" i="6"/>
  <c r="C396" i="6"/>
  <c r="B396" i="6"/>
  <c r="V395" i="6"/>
  <c r="U395" i="6"/>
  <c r="S395" i="6"/>
  <c r="N395" i="6"/>
  <c r="L395" i="6"/>
  <c r="J395" i="6"/>
  <c r="H395" i="6"/>
  <c r="E395" i="6"/>
  <c r="D395" i="6"/>
  <c r="C395" i="6"/>
  <c r="B395" i="6"/>
  <c r="W394" i="6"/>
  <c r="V394" i="6"/>
  <c r="U394" i="6"/>
  <c r="S394" i="6"/>
  <c r="N394" i="6"/>
  <c r="L394" i="6"/>
  <c r="J394" i="6"/>
  <c r="H394" i="6"/>
  <c r="E394" i="6"/>
  <c r="D394" i="6"/>
  <c r="C394" i="6"/>
  <c r="B394" i="6"/>
  <c r="W393" i="6"/>
  <c r="V393" i="6"/>
  <c r="U393" i="6"/>
  <c r="S393" i="6"/>
  <c r="N393" i="6"/>
  <c r="L393" i="6"/>
  <c r="J393" i="6"/>
  <c r="H393" i="6"/>
  <c r="E393" i="6"/>
  <c r="D393" i="6"/>
  <c r="C393" i="6"/>
  <c r="B393" i="6"/>
  <c r="AB399" i="41"/>
  <c r="AB400" i="41"/>
  <c r="AB393" i="41"/>
  <c r="W378" i="6"/>
  <c r="V378" i="6"/>
  <c r="U378" i="6"/>
  <c r="S378" i="6"/>
  <c r="N378" i="6"/>
  <c r="L378" i="6"/>
  <c r="J378" i="6"/>
  <c r="H378" i="6"/>
  <c r="E378" i="6"/>
  <c r="D378" i="6"/>
  <c r="C378" i="6"/>
  <c r="B378" i="6"/>
  <c r="W377" i="6"/>
  <c r="V377" i="6"/>
  <c r="U377" i="6"/>
  <c r="S377" i="6"/>
  <c r="N377" i="6"/>
  <c r="L377" i="6"/>
  <c r="J377" i="6"/>
  <c r="H377" i="6"/>
  <c r="E377" i="6"/>
  <c r="D377" i="6"/>
  <c r="C377" i="6"/>
  <c r="B377" i="6"/>
  <c r="W375" i="6"/>
  <c r="V375" i="6"/>
  <c r="U375" i="6"/>
  <c r="S375" i="6"/>
  <c r="N375" i="6"/>
  <c r="L375" i="6"/>
  <c r="J375" i="6"/>
  <c r="H375" i="6"/>
  <c r="E375" i="6"/>
  <c r="D375" i="6"/>
  <c r="C375" i="6"/>
  <c r="B375" i="6"/>
  <c r="W374" i="6"/>
  <c r="V374" i="6"/>
  <c r="U374" i="6"/>
  <c r="S374" i="6"/>
  <c r="N374" i="6"/>
  <c r="L374" i="6"/>
  <c r="J374" i="6"/>
  <c r="H374" i="6"/>
  <c r="E374" i="6"/>
  <c r="D374" i="6"/>
  <c r="C374" i="6"/>
  <c r="B374" i="6"/>
  <c r="W372" i="6"/>
  <c r="V372" i="6"/>
  <c r="U372" i="6"/>
  <c r="S372" i="6"/>
  <c r="N372" i="6"/>
  <c r="L372" i="6"/>
  <c r="J372" i="6"/>
  <c r="H372" i="6"/>
  <c r="E372" i="6"/>
  <c r="D372" i="6"/>
  <c r="C372" i="6"/>
  <c r="B372" i="6"/>
  <c r="W371" i="6"/>
  <c r="V371" i="6"/>
  <c r="U371" i="6"/>
  <c r="S371" i="6"/>
  <c r="N371" i="6"/>
  <c r="L371" i="6"/>
  <c r="J371" i="6"/>
  <c r="H371" i="6"/>
  <c r="E371" i="6"/>
  <c r="D371" i="6"/>
  <c r="C371" i="6"/>
  <c r="B371" i="6"/>
  <c r="W369" i="6"/>
  <c r="V369" i="6"/>
  <c r="U369" i="6"/>
  <c r="S369" i="6"/>
  <c r="N369" i="6"/>
  <c r="L369" i="6"/>
  <c r="J369" i="6"/>
  <c r="H369" i="6"/>
  <c r="E369" i="6"/>
  <c r="D369" i="6"/>
  <c r="C369" i="6"/>
  <c r="B369" i="6"/>
  <c r="W368" i="6"/>
  <c r="V368" i="6"/>
  <c r="U368" i="6"/>
  <c r="S368" i="6"/>
  <c r="N368" i="6"/>
  <c r="L368" i="6"/>
  <c r="J368" i="6"/>
  <c r="H368" i="6"/>
  <c r="E368" i="6"/>
  <c r="D368" i="6"/>
  <c r="C368" i="6"/>
  <c r="B368" i="6"/>
  <c r="W367" i="6"/>
  <c r="V367" i="6"/>
  <c r="U367" i="6"/>
  <c r="S367" i="6"/>
  <c r="N367" i="6"/>
  <c r="L367" i="6"/>
  <c r="J367" i="6"/>
  <c r="H367" i="6"/>
  <c r="E367" i="6"/>
  <c r="D367" i="6"/>
  <c r="C367" i="6"/>
  <c r="B367" i="6"/>
  <c r="W365" i="6"/>
  <c r="V365" i="6"/>
  <c r="U365" i="6"/>
  <c r="S365" i="6"/>
  <c r="N365" i="6"/>
  <c r="L365" i="6"/>
  <c r="J365" i="6"/>
  <c r="H365" i="6"/>
  <c r="E365" i="6"/>
  <c r="D365" i="6"/>
  <c r="C365" i="6"/>
  <c r="B365" i="6"/>
  <c r="W364" i="6"/>
  <c r="V364" i="6"/>
  <c r="U364" i="6"/>
  <c r="S364" i="6"/>
  <c r="N364" i="6"/>
  <c r="L364" i="6"/>
  <c r="J364" i="6"/>
  <c r="H364" i="6"/>
  <c r="E364" i="6"/>
  <c r="D364" i="6"/>
  <c r="C364" i="6"/>
  <c r="B364" i="6"/>
  <c r="AB359" i="41"/>
  <c r="AB358" i="41"/>
  <c r="W339" i="6"/>
  <c r="V339" i="6"/>
  <c r="U339" i="6"/>
  <c r="S339" i="6"/>
  <c r="N339" i="6"/>
  <c r="L339" i="6"/>
  <c r="J339" i="6"/>
  <c r="H339" i="6"/>
  <c r="E339" i="6"/>
  <c r="D339" i="6"/>
  <c r="C339" i="6"/>
  <c r="B339" i="6"/>
  <c r="W338" i="6"/>
  <c r="V338" i="6"/>
  <c r="U338" i="6"/>
  <c r="S338" i="6"/>
  <c r="N338" i="6"/>
  <c r="L338" i="6"/>
  <c r="J338" i="6"/>
  <c r="H338" i="6"/>
  <c r="E338" i="6"/>
  <c r="D338" i="6"/>
  <c r="C338" i="6"/>
  <c r="B338" i="6"/>
  <c r="W337" i="6"/>
  <c r="V337" i="6"/>
  <c r="U337" i="6"/>
  <c r="S337" i="6"/>
  <c r="N337" i="6"/>
  <c r="L337" i="6"/>
  <c r="J337" i="6"/>
  <c r="H337" i="6"/>
  <c r="E337" i="6"/>
  <c r="D337" i="6"/>
  <c r="C337" i="6"/>
  <c r="B337" i="6"/>
  <c r="W336" i="6"/>
  <c r="V336" i="6"/>
  <c r="U336" i="6"/>
  <c r="S336" i="6"/>
  <c r="N336" i="6"/>
  <c r="L336" i="6"/>
  <c r="J336" i="6"/>
  <c r="H336" i="6"/>
  <c r="E336" i="6"/>
  <c r="D336" i="6"/>
  <c r="C336" i="6"/>
  <c r="B336" i="6"/>
  <c r="W335" i="6"/>
  <c r="V335" i="6"/>
  <c r="U335" i="6"/>
  <c r="S335" i="6"/>
  <c r="N335" i="6"/>
  <c r="L335" i="6"/>
  <c r="J335" i="6"/>
  <c r="H335" i="6"/>
  <c r="E335" i="6"/>
  <c r="D335" i="6"/>
  <c r="C335" i="6"/>
  <c r="B335" i="6"/>
  <c r="W334" i="6"/>
  <c r="V334" i="6"/>
  <c r="U334" i="6"/>
  <c r="S334" i="6"/>
  <c r="N334" i="6"/>
  <c r="L334" i="6"/>
  <c r="J334" i="6"/>
  <c r="H334" i="6"/>
  <c r="E334" i="6"/>
  <c r="D334" i="6"/>
  <c r="C334" i="6"/>
  <c r="B334" i="6"/>
  <c r="W330" i="6"/>
  <c r="V330" i="6"/>
  <c r="U330" i="6"/>
  <c r="S330" i="6"/>
  <c r="N330" i="6"/>
  <c r="L330" i="6"/>
  <c r="J330" i="6"/>
  <c r="H330" i="6"/>
  <c r="E330" i="6"/>
  <c r="D330" i="6"/>
  <c r="C330" i="6"/>
  <c r="B330" i="6"/>
  <c r="AB322" i="41"/>
  <c r="AB321" i="41"/>
  <c r="AB317" i="41"/>
  <c r="W323" i="6"/>
  <c r="V323" i="6"/>
  <c r="U323" i="6"/>
  <c r="S323" i="6"/>
  <c r="N323" i="6"/>
  <c r="L323" i="6"/>
  <c r="J323" i="6"/>
  <c r="H323" i="6"/>
  <c r="E323" i="6"/>
  <c r="D323" i="6"/>
  <c r="C323" i="6"/>
  <c r="B323" i="6"/>
  <c r="W327" i="6"/>
  <c r="V327" i="6"/>
  <c r="U327" i="6"/>
  <c r="S327" i="6"/>
  <c r="N327" i="6"/>
  <c r="L327" i="6"/>
  <c r="J327" i="6"/>
  <c r="H327" i="6"/>
  <c r="E327" i="6"/>
  <c r="D327" i="6"/>
  <c r="C327" i="6"/>
  <c r="B327" i="6"/>
  <c r="W325" i="6"/>
  <c r="V325" i="6"/>
  <c r="U325" i="6"/>
  <c r="S325" i="6"/>
  <c r="N325" i="6"/>
  <c r="L325" i="6"/>
  <c r="J325" i="6"/>
  <c r="H325" i="6"/>
  <c r="E325" i="6"/>
  <c r="D325" i="6"/>
  <c r="C325" i="6"/>
  <c r="B325" i="6"/>
  <c r="W324" i="6"/>
  <c r="V324" i="6"/>
  <c r="U324" i="6"/>
  <c r="S324" i="6"/>
  <c r="N324" i="6"/>
  <c r="L324" i="6"/>
  <c r="J324" i="6"/>
  <c r="H324" i="6"/>
  <c r="E324" i="6"/>
  <c r="D324" i="6"/>
  <c r="C324" i="6"/>
  <c r="B324" i="6"/>
  <c r="W313" i="6"/>
  <c r="V313" i="6"/>
  <c r="U313" i="6"/>
  <c r="S313" i="6"/>
  <c r="N313" i="6"/>
  <c r="L313" i="6"/>
  <c r="J313" i="6"/>
  <c r="H313" i="6"/>
  <c r="E313" i="6"/>
  <c r="D313" i="6"/>
  <c r="C313" i="6"/>
  <c r="B313" i="6"/>
  <c r="W312" i="6"/>
  <c r="V312" i="6"/>
  <c r="U312" i="6"/>
  <c r="S312" i="6"/>
  <c r="N312" i="6"/>
  <c r="L312" i="6"/>
  <c r="J312" i="6"/>
  <c r="H312" i="6"/>
  <c r="E312" i="6"/>
  <c r="D312" i="6"/>
  <c r="C312" i="6"/>
  <c r="B312" i="6"/>
  <c r="W311" i="6"/>
  <c r="V311" i="6"/>
  <c r="U311" i="6"/>
  <c r="S311" i="6"/>
  <c r="N311" i="6"/>
  <c r="L311" i="6"/>
  <c r="J311" i="6"/>
  <c r="H311" i="6"/>
  <c r="E311" i="6"/>
  <c r="D311" i="6"/>
  <c r="C311" i="6"/>
  <c r="B311" i="6"/>
  <c r="W310" i="6"/>
  <c r="V310" i="6"/>
  <c r="U310" i="6"/>
  <c r="S310" i="6"/>
  <c r="N310" i="6"/>
  <c r="L310" i="6"/>
  <c r="J310" i="6"/>
  <c r="H310" i="6"/>
  <c r="E310" i="6"/>
  <c r="D310" i="6"/>
  <c r="C310" i="6"/>
  <c r="B310" i="6"/>
  <c r="W309" i="6"/>
  <c r="V309" i="6"/>
  <c r="U309" i="6"/>
  <c r="S309" i="6"/>
  <c r="N309" i="6"/>
  <c r="L309" i="6"/>
  <c r="J309" i="6"/>
  <c r="H309" i="6"/>
  <c r="E309" i="6"/>
  <c r="D309" i="6"/>
  <c r="C309" i="6"/>
  <c r="B309" i="6"/>
  <c r="W308" i="6"/>
  <c r="V308" i="6"/>
  <c r="U308" i="6"/>
  <c r="S308" i="6"/>
  <c r="N308" i="6"/>
  <c r="L308" i="6"/>
  <c r="J308" i="6"/>
  <c r="H308" i="6"/>
  <c r="E308" i="6"/>
  <c r="D308" i="6"/>
  <c r="C308" i="6"/>
  <c r="B308" i="6"/>
  <c r="W307" i="6"/>
  <c r="V307" i="6"/>
  <c r="U307" i="6"/>
  <c r="S307" i="6"/>
  <c r="N307" i="6"/>
  <c r="L307" i="6"/>
  <c r="J307" i="6"/>
  <c r="H307" i="6"/>
  <c r="E307" i="6"/>
  <c r="D307" i="6"/>
  <c r="C307" i="6"/>
  <c r="B307" i="6"/>
  <c r="W306" i="6"/>
  <c r="V306" i="6"/>
  <c r="U306" i="6"/>
  <c r="S306" i="6"/>
  <c r="N306" i="6"/>
  <c r="L306" i="6"/>
  <c r="J306" i="6"/>
  <c r="H306" i="6"/>
  <c r="E306" i="6"/>
  <c r="D306" i="6"/>
  <c r="C306" i="6"/>
  <c r="B306" i="6"/>
  <c r="W305" i="6"/>
  <c r="V305" i="6"/>
  <c r="U305" i="6"/>
  <c r="S305" i="6"/>
  <c r="N305" i="6"/>
  <c r="L305" i="6"/>
  <c r="J305" i="6"/>
  <c r="H305" i="6"/>
  <c r="E305" i="6"/>
  <c r="D305" i="6"/>
  <c r="C305" i="6"/>
  <c r="B305" i="6"/>
  <c r="W304" i="6"/>
  <c r="V304" i="6"/>
  <c r="U304" i="6"/>
  <c r="S304" i="6"/>
  <c r="N304" i="6"/>
  <c r="L304" i="6"/>
  <c r="J304" i="6"/>
  <c r="H304" i="6"/>
  <c r="E304" i="6"/>
  <c r="D304" i="6"/>
  <c r="C304" i="6"/>
  <c r="B304" i="6"/>
  <c r="W300" i="6"/>
  <c r="V300" i="6"/>
  <c r="U300" i="6"/>
  <c r="S300" i="6"/>
  <c r="N300" i="6"/>
  <c r="L300" i="6"/>
  <c r="J300" i="6"/>
  <c r="H300" i="6"/>
  <c r="E300" i="6"/>
  <c r="D300" i="6"/>
  <c r="C300" i="6"/>
  <c r="B300" i="6"/>
  <c r="AB312" i="41"/>
  <c r="AB295" i="41"/>
  <c r="AB294" i="41"/>
  <c r="AB293" i="41"/>
  <c r="AB292" i="41"/>
  <c r="AB291" i="41"/>
  <c r="AB287" i="41"/>
  <c r="W279" i="6"/>
  <c r="V279" i="6"/>
  <c r="U279" i="6"/>
  <c r="S279" i="6"/>
  <c r="N279" i="6"/>
  <c r="L279" i="6"/>
  <c r="J279" i="6"/>
  <c r="H279" i="6"/>
  <c r="E279" i="6"/>
  <c r="D279" i="6"/>
  <c r="C279" i="6"/>
  <c r="B279" i="6"/>
  <c r="W277" i="6"/>
  <c r="V277" i="6"/>
  <c r="U277" i="6"/>
  <c r="S277" i="6"/>
  <c r="N277" i="6"/>
  <c r="L277" i="6"/>
  <c r="J277" i="6"/>
  <c r="H277" i="6"/>
  <c r="E277" i="6"/>
  <c r="D277" i="6"/>
  <c r="C277" i="6"/>
  <c r="B277" i="6"/>
  <c r="W276" i="6"/>
  <c r="V276" i="6"/>
  <c r="U276" i="6"/>
  <c r="S276" i="6"/>
  <c r="N276" i="6"/>
  <c r="L276" i="6"/>
  <c r="J276" i="6"/>
  <c r="H276" i="6"/>
  <c r="E276" i="6"/>
  <c r="D276" i="6"/>
  <c r="C276" i="6"/>
  <c r="B276" i="6"/>
  <c r="W275" i="6"/>
  <c r="V275" i="6"/>
  <c r="U275" i="6"/>
  <c r="S275" i="6"/>
  <c r="N275" i="6"/>
  <c r="L275" i="6"/>
  <c r="J275" i="6"/>
  <c r="H275" i="6"/>
  <c r="E275" i="6"/>
  <c r="D275" i="6"/>
  <c r="C275" i="6"/>
  <c r="B275" i="6"/>
  <c r="W274" i="6"/>
  <c r="V274" i="6"/>
  <c r="U274" i="6"/>
  <c r="S274" i="6"/>
  <c r="N274" i="6"/>
  <c r="L274" i="6"/>
  <c r="J274" i="6"/>
  <c r="H274" i="6"/>
  <c r="E274" i="6"/>
  <c r="D274" i="6"/>
  <c r="C274" i="6"/>
  <c r="B274" i="6"/>
  <c r="W273" i="6"/>
  <c r="V273" i="6"/>
  <c r="U273" i="6"/>
  <c r="S273" i="6"/>
  <c r="N273" i="6"/>
  <c r="L273" i="6"/>
  <c r="J273" i="6"/>
  <c r="H273" i="6"/>
  <c r="E273" i="6"/>
  <c r="D273" i="6"/>
  <c r="C273" i="6"/>
  <c r="B273" i="6"/>
  <c r="W272" i="6"/>
  <c r="V272" i="6"/>
  <c r="U272" i="6"/>
  <c r="S272" i="6"/>
  <c r="N272" i="6"/>
  <c r="L272" i="6"/>
  <c r="J272" i="6"/>
  <c r="H272" i="6"/>
  <c r="E272" i="6"/>
  <c r="D272" i="6"/>
  <c r="C272" i="6"/>
  <c r="B272" i="6"/>
  <c r="AB266" i="41"/>
  <c r="W259" i="6"/>
  <c r="V259" i="6"/>
  <c r="U259" i="6"/>
  <c r="S259" i="6"/>
  <c r="N259" i="6"/>
  <c r="L259" i="6"/>
  <c r="J259" i="6"/>
  <c r="H259" i="6"/>
  <c r="E259" i="6"/>
  <c r="D259" i="6"/>
  <c r="C259" i="6"/>
  <c r="B259" i="6"/>
  <c r="W257" i="6"/>
  <c r="V257" i="6"/>
  <c r="U257" i="6"/>
  <c r="S257" i="6"/>
  <c r="N257" i="6"/>
  <c r="L257" i="6"/>
  <c r="J257" i="6"/>
  <c r="H257" i="6"/>
  <c r="E257" i="6"/>
  <c r="D257" i="6"/>
  <c r="C257" i="6"/>
  <c r="B257" i="6"/>
  <c r="W256" i="6"/>
  <c r="V256" i="6"/>
  <c r="U256" i="6"/>
  <c r="S256" i="6"/>
  <c r="N256" i="6"/>
  <c r="L256" i="6"/>
  <c r="J256" i="6"/>
  <c r="H256" i="6"/>
  <c r="E256" i="6"/>
  <c r="D256" i="6"/>
  <c r="C256" i="6"/>
  <c r="B256" i="6"/>
  <c r="W255" i="6"/>
  <c r="V255" i="6"/>
  <c r="U255" i="6"/>
  <c r="S255" i="6"/>
  <c r="N255" i="6"/>
  <c r="L255" i="6"/>
  <c r="J255" i="6"/>
  <c r="H255" i="6"/>
  <c r="E255" i="6"/>
  <c r="D255" i="6"/>
  <c r="C255" i="6"/>
  <c r="B255" i="6"/>
  <c r="W254" i="6"/>
  <c r="V254" i="6"/>
  <c r="U254" i="6"/>
  <c r="S254" i="6"/>
  <c r="N254" i="6"/>
  <c r="L254" i="6"/>
  <c r="J254" i="6"/>
  <c r="H254" i="6"/>
  <c r="E254" i="6"/>
  <c r="D254" i="6"/>
  <c r="C254" i="6"/>
  <c r="B254" i="6"/>
  <c r="W253" i="6"/>
  <c r="V253" i="6"/>
  <c r="U253" i="6"/>
  <c r="S253" i="6"/>
  <c r="N253" i="6"/>
  <c r="L253" i="6"/>
  <c r="J253" i="6"/>
  <c r="H253" i="6"/>
  <c r="E253" i="6"/>
  <c r="D253" i="6"/>
  <c r="C253" i="6"/>
  <c r="B253" i="6"/>
  <c r="W251" i="6"/>
  <c r="V251" i="6"/>
  <c r="U251" i="6"/>
  <c r="S251" i="6"/>
  <c r="N251" i="6"/>
  <c r="L251" i="6"/>
  <c r="J251" i="6"/>
  <c r="H251" i="6"/>
  <c r="E251" i="6"/>
  <c r="D251" i="6"/>
  <c r="C251" i="6"/>
  <c r="B251" i="6"/>
  <c r="W250" i="6"/>
  <c r="V250" i="6"/>
  <c r="U250" i="6"/>
  <c r="S250" i="6"/>
  <c r="N250" i="6"/>
  <c r="L250" i="6"/>
  <c r="J250" i="6"/>
  <c r="H250" i="6"/>
  <c r="E250" i="6"/>
  <c r="D250" i="6"/>
  <c r="C250" i="6"/>
  <c r="B250" i="6"/>
  <c r="W245" i="6"/>
  <c r="V245" i="6"/>
  <c r="U245" i="6"/>
  <c r="S245" i="6"/>
  <c r="N245" i="6"/>
  <c r="L245" i="6"/>
  <c r="J245" i="6"/>
  <c r="H245" i="6"/>
  <c r="E245" i="6"/>
  <c r="D245" i="6"/>
  <c r="C245" i="6"/>
  <c r="B245" i="6"/>
  <c r="W248" i="6"/>
  <c r="V248" i="6"/>
  <c r="U248" i="6"/>
  <c r="S248" i="6"/>
  <c r="N248" i="6"/>
  <c r="L248" i="6"/>
  <c r="J248" i="6"/>
  <c r="H248" i="6"/>
  <c r="E248" i="6"/>
  <c r="D248" i="6"/>
  <c r="C248" i="6"/>
  <c r="B248" i="6"/>
  <c r="W246" i="6"/>
  <c r="V246" i="6"/>
  <c r="U246" i="6"/>
  <c r="S246" i="6"/>
  <c r="N246" i="6"/>
  <c r="L246" i="6"/>
  <c r="J246" i="6"/>
  <c r="H246" i="6"/>
  <c r="E246" i="6"/>
  <c r="D246" i="6"/>
  <c r="C246" i="6"/>
  <c r="B246" i="6"/>
  <c r="W244" i="6"/>
  <c r="V244" i="6"/>
  <c r="U244" i="6"/>
  <c r="S244" i="6"/>
  <c r="N244" i="6"/>
  <c r="L244" i="6"/>
  <c r="J244" i="6"/>
  <c r="H244" i="6"/>
  <c r="E244" i="6"/>
  <c r="D244" i="6"/>
  <c r="C244" i="6"/>
  <c r="B244" i="6"/>
  <c r="W243" i="6"/>
  <c r="V243" i="6"/>
  <c r="U243" i="6"/>
  <c r="S243" i="6"/>
  <c r="N243" i="6"/>
  <c r="L243" i="6"/>
  <c r="J243" i="6"/>
  <c r="H243" i="6"/>
  <c r="E243" i="6"/>
  <c r="D243" i="6"/>
  <c r="C243" i="6"/>
  <c r="B243" i="6"/>
  <c r="AB243" i="41"/>
  <c r="AB242" i="41"/>
  <c r="AB241" i="41"/>
  <c r="AB240" i="41"/>
  <c r="AB238" i="41"/>
  <c r="AB237" i="41"/>
  <c r="AB232" i="41"/>
  <c r="W233" i="6"/>
  <c r="V233" i="6"/>
  <c r="U233" i="6"/>
  <c r="S233" i="6"/>
  <c r="N233" i="6"/>
  <c r="L233" i="6"/>
  <c r="J233" i="6"/>
  <c r="H233" i="6"/>
  <c r="E233" i="6"/>
  <c r="D233" i="6"/>
  <c r="C233" i="6"/>
  <c r="B233" i="6"/>
  <c r="W219" i="6"/>
  <c r="V219" i="6"/>
  <c r="U219" i="6"/>
  <c r="S219" i="6"/>
  <c r="N219" i="6"/>
  <c r="L219" i="6"/>
  <c r="J219" i="6"/>
  <c r="H219" i="6"/>
  <c r="E219" i="6"/>
  <c r="D219" i="6"/>
  <c r="C219" i="6"/>
  <c r="B219" i="6"/>
  <c r="W229" i="6"/>
  <c r="V229" i="6"/>
  <c r="U229" i="6"/>
  <c r="S229" i="6"/>
  <c r="N229" i="6"/>
  <c r="L229" i="6"/>
  <c r="J229" i="6"/>
  <c r="H229" i="6"/>
  <c r="E229" i="6"/>
  <c r="D229" i="6"/>
  <c r="C229" i="6"/>
  <c r="B229" i="6"/>
  <c r="W228" i="6"/>
  <c r="V228" i="6"/>
  <c r="U228" i="6"/>
  <c r="S228" i="6"/>
  <c r="N228" i="6"/>
  <c r="L228" i="6"/>
  <c r="J228" i="6"/>
  <c r="H228" i="6"/>
  <c r="E228" i="6"/>
  <c r="D228" i="6"/>
  <c r="C228" i="6"/>
  <c r="B228" i="6"/>
  <c r="W226" i="6"/>
  <c r="V226" i="6"/>
  <c r="U226" i="6"/>
  <c r="S226" i="6"/>
  <c r="N226" i="6"/>
  <c r="L226" i="6"/>
  <c r="J226" i="6"/>
  <c r="H226" i="6"/>
  <c r="E226" i="6"/>
  <c r="D226" i="6"/>
  <c r="C226" i="6"/>
  <c r="B226" i="6"/>
  <c r="W225" i="6"/>
  <c r="V225" i="6"/>
  <c r="U225" i="6"/>
  <c r="S225" i="6"/>
  <c r="N225" i="6"/>
  <c r="L225" i="6"/>
  <c r="J225" i="6"/>
  <c r="H225" i="6"/>
  <c r="E225" i="6"/>
  <c r="D225" i="6"/>
  <c r="C225" i="6"/>
  <c r="B225" i="6"/>
  <c r="W223" i="6"/>
  <c r="V223" i="6"/>
  <c r="U223" i="6"/>
  <c r="S223" i="6"/>
  <c r="N223" i="6"/>
  <c r="L223" i="6"/>
  <c r="J223" i="6"/>
  <c r="H223" i="6"/>
  <c r="E223" i="6"/>
  <c r="D223" i="6"/>
  <c r="C223" i="6"/>
  <c r="B223" i="6"/>
  <c r="W222" i="6"/>
  <c r="V222" i="6"/>
  <c r="U222" i="6"/>
  <c r="S222" i="6"/>
  <c r="N222" i="6"/>
  <c r="L222" i="6"/>
  <c r="J222" i="6"/>
  <c r="H222" i="6"/>
  <c r="E222" i="6"/>
  <c r="D222" i="6"/>
  <c r="C222" i="6"/>
  <c r="B222" i="6"/>
  <c r="W221" i="6"/>
  <c r="V221" i="6"/>
  <c r="U221" i="6"/>
  <c r="S221" i="6"/>
  <c r="N221" i="6"/>
  <c r="L221" i="6"/>
  <c r="J221" i="6"/>
  <c r="H221" i="6"/>
  <c r="E221" i="6"/>
  <c r="D221" i="6"/>
  <c r="C221" i="6"/>
  <c r="B221" i="6"/>
  <c r="W220" i="6"/>
  <c r="V220" i="6"/>
  <c r="U220" i="6"/>
  <c r="S220" i="6"/>
  <c r="N220" i="6"/>
  <c r="L220" i="6"/>
  <c r="J220" i="6"/>
  <c r="H220" i="6"/>
  <c r="E220" i="6"/>
  <c r="D220" i="6"/>
  <c r="C220" i="6"/>
  <c r="B220" i="6"/>
  <c r="W218" i="6"/>
  <c r="V218" i="6"/>
  <c r="U218" i="6"/>
  <c r="S218" i="6"/>
  <c r="N218" i="6"/>
  <c r="L218" i="6"/>
  <c r="J218" i="6"/>
  <c r="H218" i="6"/>
  <c r="E218" i="6"/>
  <c r="D218" i="6"/>
  <c r="C218" i="6"/>
  <c r="B218" i="6"/>
  <c r="W217" i="6"/>
  <c r="V217" i="6"/>
  <c r="U217" i="6"/>
  <c r="S217" i="6"/>
  <c r="N217" i="6"/>
  <c r="L217" i="6"/>
  <c r="J217" i="6"/>
  <c r="H217" i="6"/>
  <c r="E217" i="6"/>
  <c r="D217" i="6"/>
  <c r="C217" i="6"/>
  <c r="B217" i="6"/>
  <c r="W216" i="6"/>
  <c r="V216" i="6"/>
  <c r="U216" i="6"/>
  <c r="S216" i="6"/>
  <c r="N216" i="6"/>
  <c r="L216" i="6"/>
  <c r="J216" i="6"/>
  <c r="H216" i="6"/>
  <c r="E216" i="6"/>
  <c r="D216" i="6"/>
  <c r="C216" i="6"/>
  <c r="B216" i="6"/>
  <c r="W215" i="6"/>
  <c r="V215" i="6"/>
  <c r="U215" i="6"/>
  <c r="S215" i="6"/>
  <c r="N215" i="6"/>
  <c r="L215" i="6"/>
  <c r="J215" i="6"/>
  <c r="H215" i="6"/>
  <c r="E215" i="6"/>
  <c r="D215" i="6"/>
  <c r="C215" i="6"/>
  <c r="B215" i="6"/>
  <c r="W212" i="6"/>
  <c r="V212" i="6"/>
  <c r="U212" i="6"/>
  <c r="S212" i="6"/>
  <c r="N212" i="6"/>
  <c r="L212" i="6"/>
  <c r="J212" i="6"/>
  <c r="H212" i="6"/>
  <c r="E212" i="6"/>
  <c r="D212" i="6"/>
  <c r="C212" i="6"/>
  <c r="B212" i="6"/>
  <c r="W211" i="6"/>
  <c r="V211" i="6"/>
  <c r="U211" i="6"/>
  <c r="S211" i="6"/>
  <c r="N211" i="6"/>
  <c r="L211" i="6"/>
  <c r="J211" i="6"/>
  <c r="H211" i="6"/>
  <c r="E211" i="6"/>
  <c r="D211" i="6"/>
  <c r="C211" i="6"/>
  <c r="B211" i="6"/>
  <c r="W210" i="6"/>
  <c r="V210" i="6"/>
  <c r="U210" i="6"/>
  <c r="S210" i="6"/>
  <c r="N210" i="6"/>
  <c r="L210" i="6"/>
  <c r="J210" i="6"/>
  <c r="H210" i="6"/>
  <c r="E210" i="6"/>
  <c r="D210" i="6"/>
  <c r="C210" i="6"/>
  <c r="B210" i="6"/>
  <c r="W209" i="6"/>
  <c r="V209" i="6"/>
  <c r="U209" i="6"/>
  <c r="S209" i="6"/>
  <c r="N209" i="6"/>
  <c r="L209" i="6"/>
  <c r="J209" i="6"/>
  <c r="H209" i="6"/>
  <c r="E209" i="6"/>
  <c r="D209" i="6"/>
  <c r="C209" i="6"/>
  <c r="B209" i="6"/>
  <c r="AB220" i="41"/>
  <c r="AB212" i="41"/>
  <c r="AB210" i="41"/>
  <c r="AB209" i="41"/>
  <c r="AB208" i="41"/>
  <c r="AB207" i="41"/>
  <c r="AB204" i="41"/>
  <c r="AB205" i="41"/>
  <c r="W200" i="6"/>
  <c r="V200" i="6"/>
  <c r="U200" i="6"/>
  <c r="S200" i="6"/>
  <c r="N200" i="6"/>
  <c r="L200" i="6"/>
  <c r="J200" i="6"/>
  <c r="H200" i="6"/>
  <c r="E200" i="6"/>
  <c r="D200" i="6"/>
  <c r="C200" i="6"/>
  <c r="B200" i="6"/>
  <c r="V198" i="6"/>
  <c r="U198" i="6"/>
  <c r="S198" i="6"/>
  <c r="N198" i="6"/>
  <c r="L198" i="6"/>
  <c r="J198" i="6"/>
  <c r="H198" i="6"/>
  <c r="E198" i="6"/>
  <c r="D198" i="6"/>
  <c r="C198" i="6"/>
  <c r="B198" i="6"/>
  <c r="V197" i="6"/>
  <c r="U197" i="6"/>
  <c r="S197" i="6"/>
  <c r="N197" i="6"/>
  <c r="L197" i="6"/>
  <c r="J197" i="6"/>
  <c r="H197" i="6"/>
  <c r="E197" i="6"/>
  <c r="D197" i="6"/>
  <c r="C197" i="6"/>
  <c r="B197" i="6"/>
  <c r="W196" i="6"/>
  <c r="V196" i="6"/>
  <c r="U196" i="6"/>
  <c r="S196" i="6"/>
  <c r="N196" i="6"/>
  <c r="L196" i="6"/>
  <c r="J196" i="6"/>
  <c r="H196" i="6"/>
  <c r="E196" i="6"/>
  <c r="D196" i="6"/>
  <c r="C196" i="6"/>
  <c r="B196" i="6"/>
  <c r="W193" i="6"/>
  <c r="V193" i="6"/>
  <c r="U193" i="6"/>
  <c r="S193" i="6"/>
  <c r="N193" i="6"/>
  <c r="L193" i="6"/>
  <c r="J193" i="6"/>
  <c r="H193" i="6"/>
  <c r="E193" i="6"/>
  <c r="D193" i="6"/>
  <c r="C193" i="6"/>
  <c r="B193" i="6"/>
  <c r="W192" i="6"/>
  <c r="V192" i="6"/>
  <c r="U192" i="6"/>
  <c r="S192" i="6"/>
  <c r="N192" i="6"/>
  <c r="L192" i="6"/>
  <c r="J192" i="6"/>
  <c r="H192" i="6"/>
  <c r="E192" i="6"/>
  <c r="D192" i="6"/>
  <c r="C192" i="6"/>
  <c r="B192" i="6"/>
  <c r="W191" i="6"/>
  <c r="V191" i="6"/>
  <c r="U191" i="6"/>
  <c r="S191" i="6"/>
  <c r="N191" i="6"/>
  <c r="L191" i="6"/>
  <c r="J191" i="6"/>
  <c r="H191" i="6"/>
  <c r="E191" i="6"/>
  <c r="D191" i="6"/>
  <c r="C191" i="6"/>
  <c r="B191" i="6"/>
  <c r="V188" i="6"/>
  <c r="U188" i="6"/>
  <c r="S188" i="6"/>
  <c r="N188" i="6"/>
  <c r="L188" i="6"/>
  <c r="J188" i="6"/>
  <c r="H188" i="6"/>
  <c r="E188" i="6"/>
  <c r="D188" i="6"/>
  <c r="C188" i="6"/>
  <c r="B188" i="6"/>
  <c r="V190" i="6"/>
  <c r="U190" i="6"/>
  <c r="S190" i="6"/>
  <c r="N190" i="6"/>
  <c r="L190" i="6"/>
  <c r="J190" i="6"/>
  <c r="H190" i="6"/>
  <c r="E190" i="6"/>
  <c r="D190" i="6"/>
  <c r="C190" i="6"/>
  <c r="B190" i="6"/>
  <c r="W189" i="6"/>
  <c r="V189" i="6"/>
  <c r="U189" i="6"/>
  <c r="S189" i="6"/>
  <c r="N189" i="6"/>
  <c r="L189" i="6"/>
  <c r="J189" i="6"/>
  <c r="H189" i="6"/>
  <c r="E189" i="6"/>
  <c r="D189" i="6"/>
  <c r="C189" i="6"/>
  <c r="B189" i="6"/>
  <c r="W187" i="6"/>
  <c r="V187" i="6"/>
  <c r="U187" i="6"/>
  <c r="S187" i="6"/>
  <c r="N187" i="6"/>
  <c r="L187" i="6"/>
  <c r="J187" i="6"/>
  <c r="H187" i="6"/>
  <c r="E187" i="6"/>
  <c r="D187" i="6"/>
  <c r="C187" i="6"/>
  <c r="B187" i="6"/>
  <c r="V186" i="6"/>
  <c r="U186" i="6"/>
  <c r="S186" i="6"/>
  <c r="N186" i="6"/>
  <c r="L186" i="6"/>
  <c r="J186" i="6"/>
  <c r="H186" i="6"/>
  <c r="E186" i="6"/>
  <c r="D186" i="6"/>
  <c r="C186" i="6"/>
  <c r="B186" i="6"/>
  <c r="W185" i="6"/>
  <c r="V185" i="6"/>
  <c r="U185" i="6"/>
  <c r="S185" i="6"/>
  <c r="N185" i="6"/>
  <c r="L185" i="6"/>
  <c r="J185" i="6"/>
  <c r="H185" i="6"/>
  <c r="E185" i="6"/>
  <c r="D185" i="6"/>
  <c r="C185" i="6"/>
  <c r="B185" i="6"/>
  <c r="W183" i="6"/>
  <c r="V183" i="6"/>
  <c r="U183" i="6"/>
  <c r="S183" i="6"/>
  <c r="N183" i="6"/>
  <c r="L183" i="6"/>
  <c r="J183" i="6"/>
  <c r="H183" i="6"/>
  <c r="E183" i="6"/>
  <c r="D183" i="6"/>
  <c r="C183" i="6"/>
  <c r="B183" i="6"/>
  <c r="W182" i="6"/>
  <c r="V182" i="6"/>
  <c r="U182" i="6"/>
  <c r="S182" i="6"/>
  <c r="N182" i="6"/>
  <c r="L182" i="6"/>
  <c r="J182" i="6"/>
  <c r="H182" i="6"/>
  <c r="E182" i="6"/>
  <c r="D182" i="6"/>
  <c r="C182" i="6"/>
  <c r="B182" i="6"/>
  <c r="W181" i="6"/>
  <c r="V181" i="6"/>
  <c r="U181" i="6"/>
  <c r="S181" i="6"/>
  <c r="N181" i="6"/>
  <c r="L181" i="6"/>
  <c r="J181" i="6"/>
  <c r="H181" i="6"/>
  <c r="E181" i="6"/>
  <c r="D181" i="6"/>
  <c r="C181" i="6"/>
  <c r="B181" i="6"/>
  <c r="W180" i="6"/>
  <c r="V180" i="6"/>
  <c r="U180" i="6"/>
  <c r="S180" i="6"/>
  <c r="N180" i="6"/>
  <c r="L180" i="6"/>
  <c r="J180" i="6"/>
  <c r="H180" i="6"/>
  <c r="E180" i="6"/>
  <c r="D180" i="6"/>
  <c r="C180" i="6"/>
  <c r="B180" i="6"/>
  <c r="W179" i="6"/>
  <c r="V179" i="6"/>
  <c r="U179" i="6"/>
  <c r="S179" i="6"/>
  <c r="N179" i="6"/>
  <c r="L179" i="6"/>
  <c r="J179" i="6"/>
  <c r="H179" i="6"/>
  <c r="E179" i="6"/>
  <c r="D179" i="6"/>
  <c r="C179" i="6"/>
  <c r="B179" i="6"/>
  <c r="W178" i="6"/>
  <c r="V178" i="6"/>
  <c r="U178" i="6"/>
  <c r="S178" i="6"/>
  <c r="N178" i="6"/>
  <c r="L178" i="6"/>
  <c r="J178" i="6"/>
  <c r="H178" i="6"/>
  <c r="E178" i="6"/>
  <c r="D178" i="6"/>
  <c r="C178" i="6"/>
  <c r="B178" i="6"/>
  <c r="V177" i="6"/>
  <c r="U177" i="6"/>
  <c r="S177" i="6"/>
  <c r="N177" i="6"/>
  <c r="L177" i="6"/>
  <c r="J177" i="6"/>
  <c r="H177" i="6"/>
  <c r="E177" i="6"/>
  <c r="D177" i="6"/>
  <c r="C177" i="6"/>
  <c r="B177" i="6"/>
  <c r="AB173" i="41"/>
  <c r="AB174" i="41"/>
  <c r="AB164" i="41"/>
  <c r="AB165" i="41"/>
  <c r="AB166" i="41"/>
  <c r="W165" i="6"/>
  <c r="V165" i="6"/>
  <c r="U165" i="6"/>
  <c r="S165" i="6"/>
  <c r="N165" i="6"/>
  <c r="L165" i="6"/>
  <c r="J165" i="6"/>
  <c r="H165" i="6"/>
  <c r="E165" i="6"/>
  <c r="D165" i="6"/>
  <c r="C165" i="6"/>
  <c r="B165" i="6"/>
  <c r="W161" i="6"/>
  <c r="V161" i="6"/>
  <c r="U161" i="6"/>
  <c r="S161" i="6"/>
  <c r="N161" i="6"/>
  <c r="L161" i="6"/>
  <c r="J161" i="6"/>
  <c r="H161" i="6"/>
  <c r="E161" i="6"/>
  <c r="D161" i="6"/>
  <c r="C161" i="6"/>
  <c r="B161" i="6"/>
  <c r="V160" i="6"/>
  <c r="U160" i="6"/>
  <c r="S160" i="6"/>
  <c r="N160" i="6"/>
  <c r="L160" i="6"/>
  <c r="J160" i="6"/>
  <c r="H160" i="6"/>
  <c r="E160" i="6"/>
  <c r="D160" i="6"/>
  <c r="C160" i="6"/>
  <c r="B160" i="6"/>
  <c r="W159" i="6"/>
  <c r="V159" i="6"/>
  <c r="U159" i="6"/>
  <c r="S159" i="6"/>
  <c r="N159" i="6"/>
  <c r="L159" i="6"/>
  <c r="J159" i="6"/>
  <c r="H159" i="6"/>
  <c r="E159" i="6"/>
  <c r="D159" i="6"/>
  <c r="C159" i="6"/>
  <c r="B159" i="6"/>
  <c r="W157" i="6"/>
  <c r="V157" i="6"/>
  <c r="U157" i="6"/>
  <c r="S157" i="6"/>
  <c r="N157" i="6"/>
  <c r="L157" i="6"/>
  <c r="J157" i="6"/>
  <c r="H157" i="6"/>
  <c r="E157" i="6"/>
  <c r="D157" i="6"/>
  <c r="C157" i="6"/>
  <c r="B157" i="6"/>
  <c r="W156" i="6"/>
  <c r="V156" i="6"/>
  <c r="U156" i="6"/>
  <c r="S156" i="6"/>
  <c r="N156" i="6"/>
  <c r="L156" i="6"/>
  <c r="J156" i="6"/>
  <c r="H156" i="6"/>
  <c r="E156" i="6"/>
  <c r="D156" i="6"/>
  <c r="C156" i="6"/>
  <c r="B156" i="6"/>
  <c r="W155" i="6"/>
  <c r="V155" i="6"/>
  <c r="U155" i="6"/>
  <c r="S155" i="6"/>
  <c r="N155" i="6"/>
  <c r="L155" i="6"/>
  <c r="J155" i="6"/>
  <c r="H155" i="6"/>
  <c r="E155" i="6"/>
  <c r="D155" i="6"/>
  <c r="C155" i="6"/>
  <c r="B155" i="6"/>
  <c r="V154" i="6"/>
  <c r="U154" i="6"/>
  <c r="S154" i="6"/>
  <c r="N154" i="6"/>
  <c r="L154" i="6"/>
  <c r="J154" i="6"/>
  <c r="H154" i="6"/>
  <c r="E154" i="6"/>
  <c r="D154" i="6"/>
  <c r="C154" i="6"/>
  <c r="B154" i="6"/>
  <c r="W145" i="6"/>
  <c r="V145" i="6"/>
  <c r="U145" i="6"/>
  <c r="S145" i="6"/>
  <c r="N145" i="6"/>
  <c r="L145" i="6"/>
  <c r="J145" i="6"/>
  <c r="H145" i="6"/>
  <c r="E145" i="6"/>
  <c r="D145" i="6"/>
  <c r="C145" i="6"/>
  <c r="B145" i="6"/>
  <c r="W144" i="6"/>
  <c r="V144" i="6"/>
  <c r="U144" i="6"/>
  <c r="S144" i="6"/>
  <c r="N144" i="6"/>
  <c r="L144" i="6"/>
  <c r="J144" i="6"/>
  <c r="H144" i="6"/>
  <c r="E144" i="6"/>
  <c r="D144" i="6"/>
  <c r="C144" i="6"/>
  <c r="B144" i="6"/>
  <c r="AB135" i="41"/>
  <c r="AB134" i="41"/>
  <c r="AB132" i="41"/>
  <c r="W136" i="6" l="1"/>
  <c r="V136" i="6"/>
  <c r="U136" i="6"/>
  <c r="S136" i="6"/>
  <c r="N136" i="6"/>
  <c r="L136" i="6"/>
  <c r="J136" i="6"/>
  <c r="H136" i="6"/>
  <c r="E136" i="6"/>
  <c r="D136" i="6"/>
  <c r="C136" i="6"/>
  <c r="B136" i="6"/>
  <c r="W135" i="6"/>
  <c r="V135" i="6"/>
  <c r="U135" i="6"/>
  <c r="S135" i="6"/>
  <c r="N135" i="6"/>
  <c r="L135" i="6"/>
  <c r="J135" i="6"/>
  <c r="H135" i="6"/>
  <c r="E135" i="6"/>
  <c r="D135" i="6"/>
  <c r="C135" i="6"/>
  <c r="B135" i="6"/>
  <c r="W134" i="6"/>
  <c r="V134" i="6"/>
  <c r="U134" i="6"/>
  <c r="S134" i="6"/>
  <c r="N134" i="6"/>
  <c r="L134" i="6"/>
  <c r="J134" i="6"/>
  <c r="H134" i="6"/>
  <c r="E134" i="6"/>
  <c r="D134" i="6"/>
  <c r="C134" i="6"/>
  <c r="B134" i="6"/>
  <c r="W131" i="6"/>
  <c r="V131" i="6"/>
  <c r="U131" i="6"/>
  <c r="S131" i="6"/>
  <c r="N131" i="6"/>
  <c r="L131" i="6"/>
  <c r="J131" i="6"/>
  <c r="H131" i="6"/>
  <c r="E131" i="6"/>
  <c r="D131" i="6"/>
  <c r="C131" i="6"/>
  <c r="B131" i="6"/>
  <c r="W130" i="6"/>
  <c r="V130" i="6"/>
  <c r="U130" i="6"/>
  <c r="S130" i="6"/>
  <c r="N130" i="6"/>
  <c r="L130" i="6"/>
  <c r="J130" i="6"/>
  <c r="H130" i="6"/>
  <c r="E130" i="6"/>
  <c r="D130" i="6"/>
  <c r="C130" i="6"/>
  <c r="B130" i="6"/>
  <c r="W129" i="6"/>
  <c r="V129" i="6"/>
  <c r="U129" i="6"/>
  <c r="S129" i="6"/>
  <c r="N129" i="6"/>
  <c r="L129" i="6"/>
  <c r="J129" i="6"/>
  <c r="H129" i="6"/>
  <c r="E129" i="6"/>
  <c r="D129" i="6"/>
  <c r="C129" i="6"/>
  <c r="B129" i="6"/>
  <c r="W128" i="6"/>
  <c r="V128" i="6"/>
  <c r="U128" i="6"/>
  <c r="S128" i="6"/>
  <c r="N128" i="6"/>
  <c r="L128" i="6"/>
  <c r="J128" i="6"/>
  <c r="H128" i="6"/>
  <c r="E128" i="6"/>
  <c r="D128" i="6"/>
  <c r="C128" i="6"/>
  <c r="B128" i="6"/>
  <c r="W127" i="6"/>
  <c r="V127" i="6"/>
  <c r="U127" i="6"/>
  <c r="S127" i="6"/>
  <c r="N127" i="6"/>
  <c r="L127" i="6"/>
  <c r="J127" i="6"/>
  <c r="H127" i="6"/>
  <c r="E127" i="6"/>
  <c r="D127" i="6"/>
  <c r="C127" i="6"/>
  <c r="B127" i="6"/>
  <c r="W126" i="6"/>
  <c r="V126" i="6"/>
  <c r="U126" i="6"/>
  <c r="S126" i="6"/>
  <c r="N126" i="6"/>
  <c r="L126" i="6"/>
  <c r="J126" i="6"/>
  <c r="H126" i="6"/>
  <c r="E126" i="6"/>
  <c r="D126" i="6"/>
  <c r="C126" i="6"/>
  <c r="B126" i="6"/>
  <c r="W124" i="6"/>
  <c r="V124" i="6"/>
  <c r="U124" i="6"/>
  <c r="S124" i="6"/>
  <c r="N124" i="6"/>
  <c r="L124" i="6"/>
  <c r="J124" i="6"/>
  <c r="H124" i="6"/>
  <c r="E124" i="6"/>
  <c r="D124" i="6"/>
  <c r="C124" i="6"/>
  <c r="B124" i="6"/>
  <c r="W122" i="6"/>
  <c r="V122" i="6"/>
  <c r="U122" i="6"/>
  <c r="S122" i="6"/>
  <c r="N122" i="6"/>
  <c r="L122" i="6"/>
  <c r="J122" i="6"/>
  <c r="H122" i="6"/>
  <c r="E122" i="6"/>
  <c r="D122" i="6"/>
  <c r="C122" i="6"/>
  <c r="B122" i="6"/>
  <c r="W121" i="6"/>
  <c r="V121" i="6"/>
  <c r="U121" i="6"/>
  <c r="S121" i="6"/>
  <c r="N121" i="6"/>
  <c r="L121" i="6"/>
  <c r="J121" i="6"/>
  <c r="H121" i="6"/>
  <c r="E121" i="6"/>
  <c r="D121" i="6"/>
  <c r="C121" i="6"/>
  <c r="B121" i="6"/>
  <c r="V119" i="6"/>
  <c r="U119" i="6"/>
  <c r="S119" i="6"/>
  <c r="N119" i="6"/>
  <c r="L119" i="6"/>
  <c r="J119" i="6"/>
  <c r="H119" i="6"/>
  <c r="E119" i="6"/>
  <c r="D119" i="6"/>
  <c r="C119" i="6"/>
  <c r="B119" i="6"/>
  <c r="W117" i="6"/>
  <c r="V117" i="6"/>
  <c r="U117" i="6"/>
  <c r="S117" i="6"/>
  <c r="N117" i="6"/>
  <c r="L117" i="6"/>
  <c r="J117" i="6"/>
  <c r="H117" i="6"/>
  <c r="E117" i="6"/>
  <c r="D117" i="6"/>
  <c r="C117" i="6"/>
  <c r="B117" i="6"/>
  <c r="W116" i="6"/>
  <c r="V116" i="6"/>
  <c r="U116" i="6"/>
  <c r="S116" i="6"/>
  <c r="N116" i="6"/>
  <c r="L116" i="6"/>
  <c r="J116" i="6"/>
  <c r="H116" i="6"/>
  <c r="E116" i="6"/>
  <c r="D116" i="6"/>
  <c r="C116" i="6"/>
  <c r="B116" i="6"/>
  <c r="W113" i="6"/>
  <c r="V113" i="6"/>
  <c r="U113" i="6"/>
  <c r="S113" i="6"/>
  <c r="N113" i="6"/>
  <c r="L113" i="6"/>
  <c r="J113" i="6"/>
  <c r="H113" i="6"/>
  <c r="E113" i="6"/>
  <c r="D113" i="6"/>
  <c r="C113" i="6"/>
  <c r="B113" i="6"/>
  <c r="AB121" i="41"/>
  <c r="AB117" i="41"/>
  <c r="AB116" i="41"/>
  <c r="AB115" i="41"/>
  <c r="AB114" i="41"/>
  <c r="AB113" i="41"/>
  <c r="AB109" i="41"/>
  <c r="AB108" i="41"/>
  <c r="AB100" i="41"/>
  <c r="W109" i="6"/>
  <c r="V109" i="6"/>
  <c r="U109" i="6"/>
  <c r="S109" i="6"/>
  <c r="N109" i="6"/>
  <c r="L109" i="6"/>
  <c r="J109" i="6"/>
  <c r="H109" i="6"/>
  <c r="E109" i="6"/>
  <c r="D109" i="6"/>
  <c r="C109" i="6"/>
  <c r="B109" i="6"/>
  <c r="V107" i="6"/>
  <c r="U107" i="6"/>
  <c r="S107" i="6"/>
  <c r="N107" i="6"/>
  <c r="L107" i="6"/>
  <c r="J107" i="6"/>
  <c r="H107" i="6"/>
  <c r="E107" i="6"/>
  <c r="D107" i="6"/>
  <c r="C107" i="6"/>
  <c r="B107" i="6"/>
  <c r="W105" i="6"/>
  <c r="V105" i="6"/>
  <c r="U105" i="6"/>
  <c r="S105" i="6"/>
  <c r="N105" i="6"/>
  <c r="L105" i="6"/>
  <c r="J105" i="6"/>
  <c r="H105" i="6"/>
  <c r="E105" i="6"/>
  <c r="D105" i="6"/>
  <c r="C105" i="6"/>
  <c r="B105" i="6"/>
  <c r="W103" i="6"/>
  <c r="V103" i="6"/>
  <c r="U103" i="6"/>
  <c r="S103" i="6"/>
  <c r="N103" i="6"/>
  <c r="L103" i="6"/>
  <c r="J103" i="6"/>
  <c r="H103" i="6"/>
  <c r="E103" i="6"/>
  <c r="D103" i="6"/>
  <c r="C103" i="6"/>
  <c r="B103" i="6"/>
  <c r="V102" i="6"/>
  <c r="U102" i="6"/>
  <c r="S102" i="6"/>
  <c r="N102" i="6"/>
  <c r="L102" i="6"/>
  <c r="J102" i="6"/>
  <c r="H102" i="6"/>
  <c r="E102" i="6"/>
  <c r="D102" i="6"/>
  <c r="C102" i="6"/>
  <c r="B102" i="6"/>
  <c r="W101" i="6"/>
  <c r="V101" i="6"/>
  <c r="U101" i="6"/>
  <c r="S101" i="6"/>
  <c r="N101" i="6"/>
  <c r="L101" i="6"/>
  <c r="J101" i="6"/>
  <c r="H101" i="6"/>
  <c r="E101" i="6"/>
  <c r="D101" i="6"/>
  <c r="C101" i="6"/>
  <c r="B101" i="6"/>
  <c r="W100" i="6"/>
  <c r="V100" i="6"/>
  <c r="U100" i="6"/>
  <c r="S100" i="6"/>
  <c r="N100" i="6"/>
  <c r="L100" i="6"/>
  <c r="J100" i="6"/>
  <c r="H100" i="6"/>
  <c r="E100" i="6"/>
  <c r="D100" i="6"/>
  <c r="C100" i="6"/>
  <c r="B100" i="6"/>
  <c r="W99" i="6"/>
  <c r="V99" i="6"/>
  <c r="U99" i="6"/>
  <c r="S99" i="6"/>
  <c r="N99" i="6"/>
  <c r="L99" i="6"/>
  <c r="J99" i="6"/>
  <c r="H99" i="6"/>
  <c r="E99" i="6"/>
  <c r="D99" i="6"/>
  <c r="C99" i="6"/>
  <c r="B99" i="6"/>
  <c r="W98" i="6"/>
  <c r="V98" i="6"/>
  <c r="U98" i="6"/>
  <c r="S98" i="6"/>
  <c r="N98" i="6"/>
  <c r="L98" i="6"/>
  <c r="J98" i="6"/>
  <c r="H98" i="6"/>
  <c r="E98" i="6"/>
  <c r="D98" i="6"/>
  <c r="C98" i="6"/>
  <c r="B98" i="6"/>
  <c r="W96" i="6"/>
  <c r="V96" i="6"/>
  <c r="U96" i="6"/>
  <c r="S96" i="6"/>
  <c r="N96" i="6"/>
  <c r="L96" i="6"/>
  <c r="J96" i="6"/>
  <c r="H96" i="6"/>
  <c r="E96" i="6"/>
  <c r="D96" i="6"/>
  <c r="C96" i="6"/>
  <c r="B96" i="6"/>
  <c r="W93" i="6"/>
  <c r="V93" i="6"/>
  <c r="U93" i="6"/>
  <c r="S93" i="6"/>
  <c r="N93" i="6"/>
  <c r="L93" i="6"/>
  <c r="J93" i="6"/>
  <c r="H93" i="6"/>
  <c r="E93" i="6"/>
  <c r="D93" i="6"/>
  <c r="C93" i="6"/>
  <c r="B93" i="6"/>
  <c r="W92" i="6"/>
  <c r="V92" i="6"/>
  <c r="U92" i="6"/>
  <c r="S92" i="6"/>
  <c r="N92" i="6"/>
  <c r="L92" i="6"/>
  <c r="J92" i="6"/>
  <c r="H92" i="6"/>
  <c r="E92" i="6"/>
  <c r="D92" i="6"/>
  <c r="C92" i="6"/>
  <c r="B92" i="6"/>
  <c r="W91" i="6"/>
  <c r="V91" i="6"/>
  <c r="U91" i="6"/>
  <c r="S91" i="6"/>
  <c r="N91" i="6"/>
  <c r="L91" i="6"/>
  <c r="J91" i="6"/>
  <c r="H91" i="6"/>
  <c r="E91" i="6"/>
  <c r="D91" i="6"/>
  <c r="C91" i="6"/>
  <c r="B91" i="6"/>
  <c r="V90" i="6"/>
  <c r="U90" i="6"/>
  <c r="S90" i="6"/>
  <c r="N90" i="6"/>
  <c r="L90" i="6"/>
  <c r="J90" i="6"/>
  <c r="H90" i="6"/>
  <c r="E90" i="6"/>
  <c r="D90" i="6"/>
  <c r="C90" i="6"/>
  <c r="B90" i="6"/>
  <c r="AB88" i="41"/>
  <c r="AB87" i="41"/>
  <c r="AB86" i="41"/>
  <c r="AB85" i="41"/>
  <c r="AB96" i="41"/>
  <c r="AB94" i="41"/>
  <c r="V47" i="6"/>
  <c r="U47" i="6"/>
  <c r="S47" i="6"/>
  <c r="N47" i="6"/>
  <c r="L47" i="6"/>
  <c r="J47" i="6"/>
  <c r="H47" i="6"/>
  <c r="E47" i="6"/>
  <c r="D47" i="6"/>
  <c r="C47" i="6"/>
  <c r="B47" i="6"/>
  <c r="V46" i="6"/>
  <c r="U46" i="6"/>
  <c r="S46" i="6"/>
  <c r="N46" i="6"/>
  <c r="L46" i="6"/>
  <c r="J46" i="6"/>
  <c r="H46" i="6"/>
  <c r="E46" i="6"/>
  <c r="D46" i="6"/>
  <c r="C46" i="6"/>
  <c r="B46" i="6"/>
  <c r="W44" i="6"/>
  <c r="V44" i="6"/>
  <c r="U44" i="6"/>
  <c r="S44" i="6"/>
  <c r="N44" i="6"/>
  <c r="L44" i="6"/>
  <c r="J44" i="6"/>
  <c r="H44" i="6"/>
  <c r="E44" i="6"/>
  <c r="D44" i="6"/>
  <c r="C44" i="6"/>
  <c r="B44" i="6"/>
  <c r="W43" i="6"/>
  <c r="V43" i="6"/>
  <c r="U43" i="6"/>
  <c r="S43" i="6"/>
  <c r="N43" i="6"/>
  <c r="L43" i="6"/>
  <c r="J43" i="6"/>
  <c r="H43" i="6"/>
  <c r="E43" i="6"/>
  <c r="D43" i="6"/>
  <c r="C43" i="6"/>
  <c r="B43" i="6"/>
  <c r="W42" i="6"/>
  <c r="V42" i="6"/>
  <c r="U42" i="6"/>
  <c r="S42" i="6"/>
  <c r="N42" i="6"/>
  <c r="L42" i="6"/>
  <c r="J42" i="6"/>
  <c r="H42" i="6"/>
  <c r="E42" i="6"/>
  <c r="D42" i="6"/>
  <c r="C42" i="6"/>
  <c r="B42" i="6"/>
  <c r="W34" i="6"/>
  <c r="V34" i="6"/>
  <c r="U34" i="6"/>
  <c r="S34" i="6"/>
  <c r="N34" i="6"/>
  <c r="L34" i="6"/>
  <c r="J34" i="6"/>
  <c r="H34" i="6"/>
  <c r="E34" i="6"/>
  <c r="D34" i="6"/>
  <c r="C34" i="6"/>
  <c r="B34" i="6"/>
  <c r="V33" i="6"/>
  <c r="U33" i="6"/>
  <c r="S33" i="6"/>
  <c r="N33" i="6"/>
  <c r="L33" i="6"/>
  <c r="J33" i="6"/>
  <c r="H33" i="6"/>
  <c r="E33" i="6"/>
  <c r="D33" i="6"/>
  <c r="C33" i="6"/>
  <c r="B33" i="6"/>
  <c r="B40" i="6"/>
  <c r="C40" i="6"/>
  <c r="D40" i="6"/>
  <c r="E40" i="6"/>
  <c r="H40" i="6"/>
  <c r="J40" i="6"/>
  <c r="L40" i="6"/>
  <c r="N40" i="6"/>
  <c r="S40" i="6"/>
  <c r="U40" i="6"/>
  <c r="V40" i="6"/>
  <c r="W40" i="6"/>
  <c r="B32" i="6"/>
  <c r="C32" i="6"/>
  <c r="D32" i="6"/>
  <c r="E32" i="6"/>
  <c r="H32" i="6"/>
  <c r="J32" i="6"/>
  <c r="L32" i="6"/>
  <c r="N32" i="6"/>
  <c r="S32" i="6"/>
  <c r="U32" i="6"/>
  <c r="V32" i="6"/>
  <c r="AB31" i="41"/>
  <c r="AB30" i="41"/>
  <c r="AB29" i="41"/>
  <c r="AB21" i="41"/>
  <c r="AB20" i="41"/>
  <c r="AB388" i="41" l="1"/>
  <c r="W550" i="6"/>
  <c r="V550" i="6"/>
  <c r="U550" i="6"/>
  <c r="S550" i="6"/>
  <c r="N550" i="6"/>
  <c r="L550" i="6"/>
  <c r="J550" i="6"/>
  <c r="H550" i="6"/>
  <c r="E550" i="6"/>
  <c r="D550" i="6"/>
  <c r="C550" i="6"/>
  <c r="B550" i="6"/>
  <c r="AB514" i="41"/>
  <c r="AB537" i="41"/>
  <c r="AB456" i="41"/>
  <c r="W27" i="6"/>
  <c r="V27" i="6"/>
  <c r="U27" i="6"/>
  <c r="S27" i="6"/>
  <c r="N27" i="6"/>
  <c r="L27" i="6"/>
  <c r="J27" i="6"/>
  <c r="H27" i="6"/>
  <c r="E27" i="6"/>
  <c r="D27" i="6"/>
  <c r="C27" i="6"/>
  <c r="B27" i="6"/>
  <c r="AB14" i="41"/>
  <c r="W533" i="6" l="1"/>
  <c r="V533" i="6"/>
  <c r="U533" i="6"/>
  <c r="S533" i="6"/>
  <c r="N533" i="6"/>
  <c r="L533" i="6"/>
  <c r="J533" i="6"/>
  <c r="H533" i="6"/>
  <c r="E533" i="6"/>
  <c r="D533" i="6"/>
  <c r="C533" i="6"/>
  <c r="B533" i="6"/>
  <c r="AB506" i="41"/>
  <c r="AB474" i="41"/>
  <c r="AB235" i="41"/>
  <c r="V292" i="6"/>
  <c r="U292" i="6"/>
  <c r="S292" i="6"/>
  <c r="N292" i="6"/>
  <c r="L292" i="6"/>
  <c r="J292" i="6"/>
  <c r="H292" i="6"/>
  <c r="E292" i="6"/>
  <c r="D292" i="6"/>
  <c r="C292" i="6"/>
  <c r="B292" i="6"/>
  <c r="AB355" i="41"/>
  <c r="AB279" i="41"/>
  <c r="AB520" i="41"/>
  <c r="W77" i="6"/>
  <c r="V77" i="6"/>
  <c r="U77" i="6"/>
  <c r="S77" i="6"/>
  <c r="N77" i="6"/>
  <c r="L77" i="6"/>
  <c r="J77" i="6"/>
  <c r="H77" i="6"/>
  <c r="E77" i="6"/>
  <c r="D77" i="6"/>
  <c r="C77" i="6"/>
  <c r="B77" i="6"/>
  <c r="AB64" i="41"/>
  <c r="W534" i="6" l="1"/>
  <c r="V534" i="6"/>
  <c r="U534" i="6"/>
  <c r="S534" i="6"/>
  <c r="N534" i="6"/>
  <c r="L534" i="6"/>
  <c r="J534" i="6"/>
  <c r="H534" i="6"/>
  <c r="E534" i="6"/>
  <c r="D534" i="6"/>
  <c r="C534" i="6"/>
  <c r="B534" i="6"/>
  <c r="AB521" i="41"/>
  <c r="W560" i="6"/>
  <c r="V560" i="6"/>
  <c r="U560" i="6"/>
  <c r="S560" i="6"/>
  <c r="N560" i="6"/>
  <c r="L560" i="6"/>
  <c r="J560" i="6"/>
  <c r="H560" i="6"/>
  <c r="E560" i="6"/>
  <c r="D560" i="6"/>
  <c r="C560" i="6"/>
  <c r="B560" i="6"/>
  <c r="AB547" i="41"/>
  <c r="AB263" i="41"/>
  <c r="W61" i="6"/>
  <c r="V61" i="6"/>
  <c r="U61" i="6"/>
  <c r="S61" i="6"/>
  <c r="N61" i="6"/>
  <c r="L61" i="6"/>
  <c r="J61" i="6"/>
  <c r="H61" i="6"/>
  <c r="E61" i="6"/>
  <c r="D61" i="6"/>
  <c r="C61" i="6"/>
  <c r="B61" i="6"/>
  <c r="AB178" i="41"/>
  <c r="AB48" i="41"/>
  <c r="W535" i="6" l="1"/>
  <c r="V535" i="6"/>
  <c r="U535" i="6"/>
  <c r="S535" i="6"/>
  <c r="N535" i="6"/>
  <c r="L535" i="6"/>
  <c r="J535" i="6"/>
  <c r="H535" i="6"/>
  <c r="E535" i="6"/>
  <c r="D535" i="6"/>
  <c r="C535" i="6"/>
  <c r="B535" i="6"/>
  <c r="AB522" i="41"/>
  <c r="AB504" i="41"/>
  <c r="W470" i="6"/>
  <c r="V470" i="6"/>
  <c r="U470" i="6"/>
  <c r="S470" i="6"/>
  <c r="N470" i="6"/>
  <c r="L470" i="6"/>
  <c r="J470" i="6"/>
  <c r="H470" i="6"/>
  <c r="E470" i="6"/>
  <c r="D470" i="6"/>
  <c r="C470" i="6"/>
  <c r="B470" i="6"/>
  <c r="AB457" i="41"/>
  <c r="AB454" i="41"/>
  <c r="AB425" i="41"/>
  <c r="W383" i="6"/>
  <c r="V383" i="6"/>
  <c r="U383" i="6"/>
  <c r="S383" i="6"/>
  <c r="N383" i="6"/>
  <c r="L383" i="6"/>
  <c r="J383" i="6"/>
  <c r="H383" i="6"/>
  <c r="E383" i="6"/>
  <c r="D383" i="6"/>
  <c r="C383" i="6"/>
  <c r="B383" i="6"/>
  <c r="AB370" i="41"/>
  <c r="W86" i="6"/>
  <c r="V86" i="6"/>
  <c r="U86" i="6"/>
  <c r="S86" i="6"/>
  <c r="N86" i="6"/>
  <c r="L86" i="6"/>
  <c r="J86" i="6"/>
  <c r="H86" i="6"/>
  <c r="E86" i="6"/>
  <c r="D86" i="6"/>
  <c r="C86" i="6"/>
  <c r="B86" i="6"/>
  <c r="AB73" i="41"/>
  <c r="W29" i="6"/>
  <c r="V29" i="6"/>
  <c r="U29" i="6"/>
  <c r="S29" i="6"/>
  <c r="N29" i="6"/>
  <c r="L29" i="6"/>
  <c r="J29" i="6"/>
  <c r="H29" i="6"/>
  <c r="E29" i="6"/>
  <c r="D29" i="6"/>
  <c r="C29" i="6"/>
  <c r="B29" i="6"/>
  <c r="AB16" i="41"/>
  <c r="AB515" i="41"/>
  <c r="W477" i="6"/>
  <c r="V477" i="6"/>
  <c r="U477" i="6"/>
  <c r="S477" i="6"/>
  <c r="N477" i="6"/>
  <c r="L477" i="6"/>
  <c r="J477" i="6"/>
  <c r="H477" i="6"/>
  <c r="E477" i="6"/>
  <c r="D477" i="6"/>
  <c r="C477" i="6"/>
  <c r="B477" i="6"/>
  <c r="AB464" i="41"/>
  <c r="W301" i="6"/>
  <c r="V301" i="6"/>
  <c r="U301" i="6"/>
  <c r="S301" i="6"/>
  <c r="N301" i="6"/>
  <c r="L301" i="6"/>
  <c r="J301" i="6"/>
  <c r="H301" i="6"/>
  <c r="E301" i="6"/>
  <c r="D301" i="6"/>
  <c r="C301" i="6"/>
  <c r="B301" i="6"/>
  <c r="AB288" i="41"/>
  <c r="W358" i="6"/>
  <c r="V358" i="6"/>
  <c r="U358" i="6"/>
  <c r="S358" i="6"/>
  <c r="N358" i="6"/>
  <c r="L358" i="6"/>
  <c r="J358" i="6"/>
  <c r="H358" i="6"/>
  <c r="E358" i="6"/>
  <c r="D358" i="6"/>
  <c r="C358" i="6"/>
  <c r="B358" i="6"/>
  <c r="AB345" i="41"/>
  <c r="W50" i="6"/>
  <c r="V50" i="6"/>
  <c r="U50" i="6"/>
  <c r="S50" i="6"/>
  <c r="N50" i="6"/>
  <c r="L50" i="6"/>
  <c r="J50" i="6"/>
  <c r="H50" i="6"/>
  <c r="E50" i="6"/>
  <c r="D50" i="6"/>
  <c r="C50" i="6"/>
  <c r="B50" i="6"/>
  <c r="AB37" i="41"/>
  <c r="W539" i="6"/>
  <c r="V539" i="6"/>
  <c r="U539" i="6"/>
  <c r="S539" i="6"/>
  <c r="N539" i="6"/>
  <c r="L539" i="6"/>
  <c r="J539" i="6"/>
  <c r="H539" i="6"/>
  <c r="E539" i="6"/>
  <c r="D539" i="6"/>
  <c r="C539" i="6"/>
  <c r="B539" i="6"/>
  <c r="AB526" i="41"/>
  <c r="W207" i="6"/>
  <c r="V207" i="6"/>
  <c r="U207" i="6"/>
  <c r="S207" i="6"/>
  <c r="N207" i="6"/>
  <c r="L207" i="6"/>
  <c r="J207" i="6"/>
  <c r="H207" i="6"/>
  <c r="E207" i="6"/>
  <c r="D207" i="6"/>
  <c r="C207" i="6"/>
  <c r="B207" i="6"/>
  <c r="AB194" i="41"/>
  <c r="W30" i="6"/>
  <c r="V30" i="6"/>
  <c r="U30" i="6"/>
  <c r="S30" i="6"/>
  <c r="N30" i="6"/>
  <c r="L30" i="6"/>
  <c r="J30" i="6"/>
  <c r="H30" i="6"/>
  <c r="E30" i="6"/>
  <c r="D30" i="6"/>
  <c r="C30" i="6"/>
  <c r="B30" i="6"/>
  <c r="AB17" i="41"/>
  <c r="AB503" i="41"/>
  <c r="AB471" i="41"/>
  <c r="W532" i="6"/>
  <c r="V532" i="6"/>
  <c r="U532" i="6"/>
  <c r="S532" i="6"/>
  <c r="N532" i="6"/>
  <c r="L532" i="6"/>
  <c r="J532" i="6"/>
  <c r="H532" i="6"/>
  <c r="E532" i="6"/>
  <c r="D532" i="6"/>
  <c r="C532" i="6"/>
  <c r="B532" i="6"/>
  <c r="AB519" i="41"/>
  <c r="AB502" i="41"/>
  <c r="AB529" i="41"/>
  <c r="AB423" i="41"/>
  <c r="AB406" i="41"/>
  <c r="W321" i="6"/>
  <c r="V321" i="6"/>
  <c r="U321" i="6"/>
  <c r="S321" i="6"/>
  <c r="N321" i="6"/>
  <c r="L321" i="6"/>
  <c r="J321" i="6"/>
  <c r="H321" i="6"/>
  <c r="E321" i="6"/>
  <c r="D321" i="6"/>
  <c r="C321" i="6"/>
  <c r="B321" i="6"/>
  <c r="W320" i="6"/>
  <c r="V320" i="6"/>
  <c r="U320" i="6"/>
  <c r="S320" i="6"/>
  <c r="N320" i="6"/>
  <c r="L320" i="6"/>
  <c r="J320" i="6"/>
  <c r="H320" i="6"/>
  <c r="E320" i="6"/>
  <c r="D320" i="6"/>
  <c r="C320" i="6"/>
  <c r="B320" i="6"/>
  <c r="W319" i="6"/>
  <c r="V319" i="6"/>
  <c r="U319" i="6"/>
  <c r="S319" i="6"/>
  <c r="N319" i="6"/>
  <c r="L319" i="6"/>
  <c r="J319" i="6"/>
  <c r="H319" i="6"/>
  <c r="E319" i="6"/>
  <c r="D319" i="6"/>
  <c r="C319" i="6"/>
  <c r="B319" i="6"/>
  <c r="W318" i="6"/>
  <c r="V318" i="6"/>
  <c r="U318" i="6"/>
  <c r="S318" i="6"/>
  <c r="N318" i="6"/>
  <c r="L318" i="6"/>
  <c r="J318" i="6"/>
  <c r="H318" i="6"/>
  <c r="E318" i="6"/>
  <c r="D318" i="6"/>
  <c r="C318" i="6"/>
  <c r="B318" i="6"/>
  <c r="W317" i="6"/>
  <c r="V317" i="6"/>
  <c r="U317" i="6"/>
  <c r="S317" i="6"/>
  <c r="N317" i="6"/>
  <c r="L317" i="6"/>
  <c r="J317" i="6"/>
  <c r="H317" i="6"/>
  <c r="E317" i="6"/>
  <c r="D317" i="6"/>
  <c r="C317" i="6"/>
  <c r="B317" i="6"/>
  <c r="W315" i="6"/>
  <c r="V315" i="6"/>
  <c r="U315" i="6"/>
  <c r="S315" i="6"/>
  <c r="N315" i="6"/>
  <c r="L315" i="6"/>
  <c r="J315" i="6"/>
  <c r="H315" i="6"/>
  <c r="E315" i="6"/>
  <c r="D315" i="6"/>
  <c r="C315" i="6"/>
  <c r="B315" i="6"/>
  <c r="AB302" i="41"/>
  <c r="AB449" i="41" l="1"/>
  <c r="AB430" i="41" l="1"/>
  <c r="AB417" i="41" l="1"/>
  <c r="W79" i="6" l="1"/>
  <c r="V79" i="6"/>
  <c r="U79" i="6"/>
  <c r="S79" i="6"/>
  <c r="N79" i="6"/>
  <c r="L79" i="6"/>
  <c r="J79" i="6"/>
  <c r="H79" i="6"/>
  <c r="E79" i="6"/>
  <c r="D79" i="6"/>
  <c r="C79" i="6"/>
  <c r="B79" i="6"/>
  <c r="AB66" i="41"/>
  <c r="AB542" i="41"/>
  <c r="W132" i="6" l="1"/>
  <c r="V132" i="6"/>
  <c r="U132" i="6"/>
  <c r="S132" i="6"/>
  <c r="N132" i="6"/>
  <c r="L132" i="6"/>
  <c r="J132" i="6"/>
  <c r="H132" i="6"/>
  <c r="E132" i="6"/>
  <c r="D132" i="6"/>
  <c r="C132" i="6"/>
  <c r="B132" i="6"/>
  <c r="W511" i="6"/>
  <c r="V511" i="6"/>
  <c r="U511" i="6"/>
  <c r="S511" i="6"/>
  <c r="N511" i="6"/>
  <c r="L511" i="6"/>
  <c r="J511" i="6"/>
  <c r="H511" i="6"/>
  <c r="E511" i="6"/>
  <c r="D511" i="6"/>
  <c r="C511" i="6"/>
  <c r="B511" i="6"/>
  <c r="W510" i="6"/>
  <c r="V510" i="6"/>
  <c r="U510" i="6"/>
  <c r="S510" i="6"/>
  <c r="N510" i="6"/>
  <c r="L510" i="6"/>
  <c r="J510" i="6"/>
  <c r="H510" i="6"/>
  <c r="E510" i="6"/>
  <c r="D510" i="6"/>
  <c r="C510" i="6"/>
  <c r="B510" i="6"/>
  <c r="W509" i="6"/>
  <c r="V509" i="6"/>
  <c r="U509" i="6"/>
  <c r="S509" i="6"/>
  <c r="N509" i="6"/>
  <c r="L509" i="6"/>
  <c r="J509" i="6"/>
  <c r="H509" i="6"/>
  <c r="E509" i="6"/>
  <c r="D509" i="6"/>
  <c r="C509" i="6"/>
  <c r="B509" i="6"/>
  <c r="AB392" i="41"/>
  <c r="AB391" i="41"/>
  <c r="AB390" i="41"/>
  <c r="AB386" i="41"/>
  <c r="AB385" i="41"/>
  <c r="AB383" i="41"/>
  <c r="AB382" i="41"/>
  <c r="AB381" i="41"/>
  <c r="AB380" i="41"/>
  <c r="AB512" i="41"/>
  <c r="AB511" i="41"/>
  <c r="AB510" i="41"/>
  <c r="AB509" i="41"/>
  <c r="AB508" i="41"/>
  <c r="AB505" i="41"/>
  <c r="AB500" i="41"/>
  <c r="AB496" i="41"/>
  <c r="AB552" i="41"/>
  <c r="AB549" i="41"/>
  <c r="AB546" i="41"/>
  <c r="AB544" i="41"/>
  <c r="AB541" i="41"/>
  <c r="AB531" i="41"/>
  <c r="AB530" i="41"/>
  <c r="AB469" i="41"/>
  <c r="AB468" i="41"/>
  <c r="AB470" i="41"/>
  <c r="AB467" i="41"/>
  <c r="AB450" i="41"/>
  <c r="AB446" i="41"/>
  <c r="AB447" i="41"/>
  <c r="AB439" i="41"/>
  <c r="AB438" i="41"/>
  <c r="AB437" i="41"/>
  <c r="W432" i="6"/>
  <c r="V432" i="6"/>
  <c r="U432" i="6"/>
  <c r="S432" i="6"/>
  <c r="N432" i="6"/>
  <c r="L432" i="6"/>
  <c r="J432" i="6"/>
  <c r="H432" i="6"/>
  <c r="E432" i="6"/>
  <c r="D432" i="6"/>
  <c r="C432" i="6"/>
  <c r="B432" i="6"/>
  <c r="AB427" i="41"/>
  <c r="AB428" i="41"/>
  <c r="AB431" i="41"/>
  <c r="AB419" i="41"/>
  <c r="AB412" i="41"/>
  <c r="W265" i="6"/>
  <c r="V265" i="6"/>
  <c r="U265" i="6"/>
  <c r="S265" i="6"/>
  <c r="N265" i="6"/>
  <c r="L265" i="6"/>
  <c r="J265" i="6"/>
  <c r="H265" i="6"/>
  <c r="E265" i="6"/>
  <c r="D265" i="6"/>
  <c r="C265" i="6"/>
  <c r="B265" i="6"/>
  <c r="W264" i="6"/>
  <c r="V264" i="6"/>
  <c r="U264" i="6"/>
  <c r="S264" i="6"/>
  <c r="N264" i="6"/>
  <c r="L264" i="6"/>
  <c r="J264" i="6"/>
  <c r="H264" i="6"/>
  <c r="E264" i="6"/>
  <c r="D264" i="6"/>
  <c r="C264" i="6"/>
  <c r="B264" i="6"/>
  <c r="W262" i="6"/>
  <c r="V262" i="6"/>
  <c r="U262" i="6"/>
  <c r="S262" i="6"/>
  <c r="N262" i="6"/>
  <c r="L262" i="6"/>
  <c r="J262" i="6"/>
  <c r="H262" i="6"/>
  <c r="E262" i="6"/>
  <c r="D262" i="6"/>
  <c r="C262" i="6"/>
  <c r="B262" i="6"/>
  <c r="W249" i="6"/>
  <c r="V249" i="6"/>
  <c r="U249" i="6"/>
  <c r="S249" i="6"/>
  <c r="N249" i="6"/>
  <c r="L249" i="6"/>
  <c r="J249" i="6"/>
  <c r="H249" i="6"/>
  <c r="E249" i="6"/>
  <c r="D249" i="6"/>
  <c r="C249" i="6"/>
  <c r="B249" i="6"/>
  <c r="W241" i="6"/>
  <c r="V241" i="6"/>
  <c r="U241" i="6"/>
  <c r="S241" i="6"/>
  <c r="N241" i="6"/>
  <c r="L241" i="6"/>
  <c r="J241" i="6"/>
  <c r="H241" i="6"/>
  <c r="E241" i="6"/>
  <c r="D241" i="6"/>
  <c r="C241" i="6"/>
  <c r="B241" i="6"/>
  <c r="W240" i="6"/>
  <c r="V240" i="6"/>
  <c r="U240" i="6"/>
  <c r="S240" i="6"/>
  <c r="N240" i="6"/>
  <c r="L240" i="6"/>
  <c r="J240" i="6"/>
  <c r="H240" i="6"/>
  <c r="E240" i="6"/>
  <c r="D240" i="6"/>
  <c r="C240" i="6"/>
  <c r="B240" i="6"/>
  <c r="AB251" i="41"/>
  <c r="AB249" i="41"/>
  <c r="AB244" i="41"/>
  <c r="AB236" i="41"/>
  <c r="AB228" i="41"/>
  <c r="W237" i="6"/>
  <c r="V237" i="6"/>
  <c r="U237" i="6"/>
  <c r="S237" i="6"/>
  <c r="N237" i="6"/>
  <c r="L237" i="6"/>
  <c r="J237" i="6"/>
  <c r="H237" i="6"/>
  <c r="E237" i="6"/>
  <c r="D237" i="6"/>
  <c r="C237" i="6"/>
  <c r="B237" i="6"/>
  <c r="W235" i="6"/>
  <c r="V235" i="6"/>
  <c r="U235" i="6"/>
  <c r="S235" i="6"/>
  <c r="N235" i="6"/>
  <c r="L235" i="6"/>
  <c r="J235" i="6"/>
  <c r="H235" i="6"/>
  <c r="E235" i="6"/>
  <c r="D235" i="6"/>
  <c r="C235" i="6"/>
  <c r="B235" i="6"/>
  <c r="W203" i="6"/>
  <c r="V203" i="6"/>
  <c r="U203" i="6"/>
  <c r="S203" i="6"/>
  <c r="N203" i="6"/>
  <c r="L203" i="6"/>
  <c r="J203" i="6"/>
  <c r="H203" i="6"/>
  <c r="E203" i="6"/>
  <c r="D203" i="6"/>
  <c r="C203" i="6"/>
  <c r="B203" i="6"/>
  <c r="AB224" i="41"/>
  <c r="AB222" i="41"/>
  <c r="AB213" i="41"/>
  <c r="AB203" i="41"/>
  <c r="AB199" i="41"/>
  <c r="AB198" i="41"/>
  <c r="AB197" i="41"/>
  <c r="AB196" i="41"/>
  <c r="W316" i="6"/>
  <c r="V316" i="6"/>
  <c r="U316" i="6"/>
  <c r="S316" i="6"/>
  <c r="N316" i="6"/>
  <c r="L316" i="6"/>
  <c r="J316" i="6"/>
  <c r="H316" i="6"/>
  <c r="E316" i="6"/>
  <c r="D316" i="6"/>
  <c r="C316" i="6"/>
  <c r="B316" i="6"/>
  <c r="AB311" i="41"/>
  <c r="AB314" i="41"/>
  <c r="AB310" i="41"/>
  <c r="AB306" i="41"/>
  <c r="AB305" i="41"/>
  <c r="AB304" i="41"/>
  <c r="AB300" i="41"/>
  <c r="AB299" i="41"/>
  <c r="AB298" i="41"/>
  <c r="AB297" i="41"/>
  <c r="AB296" i="41"/>
  <c r="AB362" i="41"/>
  <c r="AB361" i="41"/>
  <c r="W296" i="6"/>
  <c r="V296" i="6"/>
  <c r="U296" i="6"/>
  <c r="S296" i="6"/>
  <c r="N296" i="6"/>
  <c r="L296" i="6"/>
  <c r="J296" i="6"/>
  <c r="H296" i="6"/>
  <c r="E296" i="6"/>
  <c r="D296" i="6"/>
  <c r="C296" i="6"/>
  <c r="B296" i="6"/>
  <c r="W294" i="6"/>
  <c r="V294" i="6"/>
  <c r="U294" i="6"/>
  <c r="S294" i="6"/>
  <c r="N294" i="6"/>
  <c r="L294" i="6"/>
  <c r="J294" i="6"/>
  <c r="H294" i="6"/>
  <c r="E294" i="6"/>
  <c r="D294" i="6"/>
  <c r="C294" i="6"/>
  <c r="B294" i="6"/>
  <c r="W291" i="6"/>
  <c r="V291" i="6"/>
  <c r="U291" i="6"/>
  <c r="S291" i="6"/>
  <c r="N291" i="6"/>
  <c r="L291" i="6"/>
  <c r="J291" i="6"/>
  <c r="H291" i="6"/>
  <c r="E291" i="6"/>
  <c r="D291" i="6"/>
  <c r="C291" i="6"/>
  <c r="B291" i="6"/>
  <c r="AB283" i="41"/>
  <c r="AB281" i="41"/>
  <c r="AB278" i="41"/>
  <c r="W355" i="6"/>
  <c r="V355" i="6"/>
  <c r="U355" i="6"/>
  <c r="S355" i="6"/>
  <c r="N355" i="6"/>
  <c r="L355" i="6"/>
  <c r="J355" i="6"/>
  <c r="H355" i="6"/>
  <c r="E355" i="6"/>
  <c r="D355" i="6"/>
  <c r="C355" i="6"/>
  <c r="B355" i="6"/>
  <c r="W354" i="6"/>
  <c r="V354" i="6"/>
  <c r="U354" i="6"/>
  <c r="S354" i="6"/>
  <c r="N354" i="6"/>
  <c r="L354" i="6"/>
  <c r="J354" i="6"/>
  <c r="H354" i="6"/>
  <c r="E354" i="6"/>
  <c r="D354" i="6"/>
  <c r="C354" i="6"/>
  <c r="B354" i="6"/>
  <c r="W353" i="6"/>
  <c r="V353" i="6"/>
  <c r="U353" i="6"/>
  <c r="S353" i="6"/>
  <c r="N353" i="6"/>
  <c r="L353" i="6"/>
  <c r="J353" i="6"/>
  <c r="H353" i="6"/>
  <c r="E353" i="6"/>
  <c r="D353" i="6"/>
  <c r="C353" i="6"/>
  <c r="B353" i="6"/>
  <c r="W352" i="6"/>
  <c r="V352" i="6"/>
  <c r="U352" i="6"/>
  <c r="S352" i="6"/>
  <c r="N352" i="6"/>
  <c r="L352" i="6"/>
  <c r="J352" i="6"/>
  <c r="H352" i="6"/>
  <c r="E352" i="6"/>
  <c r="D352" i="6"/>
  <c r="C352" i="6"/>
  <c r="B352" i="6"/>
  <c r="W349" i="6"/>
  <c r="V349" i="6"/>
  <c r="U349" i="6"/>
  <c r="S349" i="6"/>
  <c r="N349" i="6"/>
  <c r="L349" i="6"/>
  <c r="J349" i="6"/>
  <c r="H349" i="6"/>
  <c r="E349" i="6"/>
  <c r="D349" i="6"/>
  <c r="C349" i="6"/>
  <c r="B349" i="6"/>
  <c r="W347" i="6"/>
  <c r="V347" i="6"/>
  <c r="U347" i="6"/>
  <c r="S347" i="6"/>
  <c r="N347" i="6"/>
  <c r="L347" i="6"/>
  <c r="J347" i="6"/>
  <c r="H347" i="6"/>
  <c r="E347" i="6"/>
  <c r="D347" i="6"/>
  <c r="C347" i="6"/>
  <c r="B347" i="6"/>
  <c r="W346" i="6"/>
  <c r="V346" i="6"/>
  <c r="U346" i="6"/>
  <c r="S346" i="6"/>
  <c r="N346" i="6"/>
  <c r="L346" i="6"/>
  <c r="J346" i="6"/>
  <c r="H346" i="6"/>
  <c r="E346" i="6"/>
  <c r="D346" i="6"/>
  <c r="C346" i="6"/>
  <c r="B346" i="6"/>
  <c r="W345" i="6"/>
  <c r="V345" i="6"/>
  <c r="U345" i="6"/>
  <c r="S345" i="6"/>
  <c r="N345" i="6"/>
  <c r="L345" i="6"/>
  <c r="J345" i="6"/>
  <c r="H345" i="6"/>
  <c r="E345" i="6"/>
  <c r="D345" i="6"/>
  <c r="C345" i="6"/>
  <c r="B345" i="6"/>
  <c r="W344" i="6"/>
  <c r="V344" i="6"/>
  <c r="U344" i="6"/>
  <c r="S344" i="6"/>
  <c r="N344" i="6"/>
  <c r="L344" i="6"/>
  <c r="J344" i="6"/>
  <c r="H344" i="6"/>
  <c r="E344" i="6"/>
  <c r="D344" i="6"/>
  <c r="C344" i="6"/>
  <c r="B344" i="6"/>
  <c r="W343" i="6"/>
  <c r="V343" i="6"/>
  <c r="U343" i="6"/>
  <c r="S343" i="6"/>
  <c r="N343" i="6"/>
  <c r="L343" i="6"/>
  <c r="J343" i="6"/>
  <c r="H343" i="6"/>
  <c r="E343" i="6"/>
  <c r="D343" i="6"/>
  <c r="C343" i="6"/>
  <c r="B343" i="6"/>
  <c r="AB338" i="41"/>
  <c r="AB339" i="41"/>
  <c r="AB340" i="41"/>
  <c r="AB342" i="41"/>
  <c r="AB341" i="41"/>
  <c r="AB336" i="41"/>
  <c r="AB334" i="41"/>
  <c r="AB333" i="41"/>
  <c r="AB332" i="41"/>
  <c r="AB331" i="41"/>
  <c r="AB330" i="41"/>
  <c r="AB326" i="41"/>
  <c r="AB325" i="41"/>
  <c r="AB324" i="41"/>
  <c r="AB323" i="41"/>
  <c r="W143" i="6"/>
  <c r="V143" i="6"/>
  <c r="U143" i="6"/>
  <c r="S143" i="6"/>
  <c r="N143" i="6"/>
  <c r="L143" i="6"/>
  <c r="J143" i="6"/>
  <c r="H143" i="6"/>
  <c r="E143" i="6"/>
  <c r="D143" i="6"/>
  <c r="C143" i="6"/>
  <c r="B143" i="6"/>
  <c r="AB152" i="41"/>
  <c r="AB148" i="41"/>
  <c r="AB147" i="41"/>
  <c r="AB146" i="41"/>
  <c r="AB144" i="41"/>
  <c r="AB143" i="41"/>
  <c r="AB142" i="41"/>
  <c r="AB141" i="41"/>
  <c r="AB119" i="41"/>
  <c r="AB118" i="41"/>
  <c r="AB93" i="41"/>
  <c r="V195" i="6"/>
  <c r="U195" i="6"/>
  <c r="S195" i="6"/>
  <c r="N195" i="6"/>
  <c r="L195" i="6"/>
  <c r="J195" i="6"/>
  <c r="H195" i="6"/>
  <c r="E195" i="6"/>
  <c r="D195" i="6"/>
  <c r="C195" i="6"/>
  <c r="B195" i="6"/>
  <c r="AB184" i="41"/>
  <c r="AB187" i="41"/>
  <c r="AB185" i="41"/>
  <c r="AB183" i="41"/>
  <c r="AB182" i="41"/>
  <c r="AB398" i="41" l="1"/>
  <c r="W52" i="6"/>
  <c r="V52" i="6"/>
  <c r="U52" i="6"/>
  <c r="S52" i="6"/>
  <c r="N52" i="6"/>
  <c r="L52" i="6"/>
  <c r="J52" i="6"/>
  <c r="H52" i="6"/>
  <c r="E52" i="6"/>
  <c r="D52" i="6"/>
  <c r="C52" i="6"/>
  <c r="B52" i="6"/>
  <c r="AB39" i="41"/>
  <c r="AB513" i="41" l="1"/>
  <c r="AB130" i="41"/>
  <c r="AB131" i="41"/>
  <c r="AB136" i="41"/>
  <c r="B97" i="6"/>
  <c r="C97" i="6"/>
  <c r="D97" i="6"/>
  <c r="E97" i="6"/>
  <c r="H97" i="6"/>
  <c r="J97" i="6"/>
  <c r="L97" i="6"/>
  <c r="N97" i="6"/>
  <c r="S97" i="6"/>
  <c r="U97" i="6"/>
  <c r="V97" i="6"/>
  <c r="W97" i="6"/>
  <c r="W87" i="6"/>
  <c r="V87" i="6"/>
  <c r="U87" i="6"/>
  <c r="S87" i="6"/>
  <c r="N87" i="6"/>
  <c r="L87" i="6"/>
  <c r="J87" i="6"/>
  <c r="H87" i="6"/>
  <c r="E87" i="6"/>
  <c r="D87" i="6"/>
  <c r="C87" i="6"/>
  <c r="B87" i="6"/>
  <c r="AB83" i="41"/>
  <c r="AB74" i="41"/>
  <c r="W286" i="6"/>
  <c r="V286" i="6"/>
  <c r="U286" i="6"/>
  <c r="S286" i="6"/>
  <c r="N286" i="6"/>
  <c r="L286" i="6"/>
  <c r="J286" i="6"/>
  <c r="H286" i="6"/>
  <c r="E286" i="6"/>
  <c r="D286" i="6"/>
  <c r="C286" i="6"/>
  <c r="B286" i="6"/>
  <c r="W283" i="6"/>
  <c r="V283" i="6"/>
  <c r="U283" i="6"/>
  <c r="S283" i="6"/>
  <c r="N283" i="6"/>
  <c r="L283" i="6"/>
  <c r="J283" i="6"/>
  <c r="H283" i="6"/>
  <c r="E283" i="6"/>
  <c r="D283" i="6"/>
  <c r="C283" i="6"/>
  <c r="B283" i="6"/>
  <c r="V281" i="6"/>
  <c r="U281" i="6"/>
  <c r="S281" i="6"/>
  <c r="N281" i="6"/>
  <c r="L281" i="6"/>
  <c r="J281" i="6"/>
  <c r="H281" i="6"/>
  <c r="E281" i="6"/>
  <c r="D281" i="6"/>
  <c r="C281" i="6"/>
  <c r="B281" i="6"/>
  <c r="V280" i="6"/>
  <c r="U280" i="6"/>
  <c r="S280" i="6"/>
  <c r="N280" i="6"/>
  <c r="L280" i="6"/>
  <c r="J280" i="6"/>
  <c r="H280" i="6"/>
  <c r="E280" i="6"/>
  <c r="D280" i="6"/>
  <c r="C280" i="6"/>
  <c r="B280" i="6"/>
  <c r="V476" i="6" l="1"/>
  <c r="U476" i="6"/>
  <c r="S476" i="6"/>
  <c r="N476" i="6"/>
  <c r="L476" i="6"/>
  <c r="J476" i="6"/>
  <c r="H476" i="6"/>
  <c r="E476" i="6"/>
  <c r="D476" i="6"/>
  <c r="C476" i="6"/>
  <c r="B476" i="6"/>
  <c r="W114" i="6"/>
  <c r="V114" i="6"/>
  <c r="U114" i="6"/>
  <c r="S114" i="6"/>
  <c r="N114" i="6"/>
  <c r="L114" i="6"/>
  <c r="J114" i="6"/>
  <c r="H114" i="6"/>
  <c r="E114" i="6"/>
  <c r="D114" i="6"/>
  <c r="C114" i="6"/>
  <c r="B114" i="6"/>
  <c r="AB463" i="41"/>
  <c r="AB101" i="41"/>
  <c r="W538" i="6"/>
  <c r="V538" i="6"/>
  <c r="U538" i="6"/>
  <c r="S538" i="6"/>
  <c r="N538" i="6"/>
  <c r="L538" i="6"/>
  <c r="J538" i="6"/>
  <c r="H538" i="6"/>
  <c r="E538" i="6"/>
  <c r="D538" i="6"/>
  <c r="C538" i="6"/>
  <c r="B538" i="6"/>
  <c r="AB525" i="41"/>
  <c r="W231" i="6"/>
  <c r="V231" i="6"/>
  <c r="U231" i="6"/>
  <c r="S231" i="6"/>
  <c r="N231" i="6"/>
  <c r="L231" i="6"/>
  <c r="J231" i="6"/>
  <c r="H231" i="6"/>
  <c r="E231" i="6"/>
  <c r="D231" i="6"/>
  <c r="C231" i="6"/>
  <c r="B231" i="6"/>
  <c r="AB218" i="41"/>
  <c r="W60" i="6"/>
  <c r="V60" i="6"/>
  <c r="U60" i="6"/>
  <c r="S60" i="6"/>
  <c r="N60" i="6"/>
  <c r="L60" i="6"/>
  <c r="J60" i="6"/>
  <c r="H60" i="6"/>
  <c r="E60" i="6"/>
  <c r="D60" i="6"/>
  <c r="C60" i="6"/>
  <c r="B60" i="6"/>
  <c r="W63" i="6"/>
  <c r="V63" i="6"/>
  <c r="U63" i="6"/>
  <c r="S63" i="6"/>
  <c r="N63" i="6"/>
  <c r="L63" i="6"/>
  <c r="J63" i="6"/>
  <c r="H63" i="6"/>
  <c r="E63" i="6"/>
  <c r="D63" i="6"/>
  <c r="C63" i="6"/>
  <c r="B63" i="6"/>
  <c r="AB47" i="41"/>
  <c r="AB50" i="41"/>
  <c r="AB89" i="41"/>
  <c r="W261" i="6" l="1"/>
  <c r="V261" i="6"/>
  <c r="U261" i="6"/>
  <c r="S261" i="6"/>
  <c r="N261" i="6"/>
  <c r="L261" i="6"/>
  <c r="J261" i="6"/>
  <c r="H261" i="6"/>
  <c r="E261" i="6"/>
  <c r="D261" i="6"/>
  <c r="C261" i="6"/>
  <c r="B261" i="6"/>
  <c r="AB248" i="41"/>
  <c r="AB176" i="41"/>
  <c r="AB273" i="41"/>
  <c r="AB478" i="41"/>
  <c r="AB497" i="41"/>
  <c r="W390" i="6"/>
  <c r="V390" i="6"/>
  <c r="U390" i="6"/>
  <c r="S390" i="6"/>
  <c r="N390" i="6"/>
  <c r="L390" i="6"/>
  <c r="J390" i="6"/>
  <c r="H390" i="6"/>
  <c r="E390" i="6"/>
  <c r="D390" i="6"/>
  <c r="C390" i="6"/>
  <c r="B390" i="6"/>
  <c r="W388" i="6"/>
  <c r="V388" i="6"/>
  <c r="U388" i="6"/>
  <c r="S388" i="6"/>
  <c r="N388" i="6"/>
  <c r="L388" i="6"/>
  <c r="J388" i="6"/>
  <c r="H388" i="6"/>
  <c r="E388" i="6"/>
  <c r="D388" i="6"/>
  <c r="C388" i="6"/>
  <c r="B388" i="6"/>
  <c r="W332" i="6"/>
  <c r="V332" i="6"/>
  <c r="U332" i="6"/>
  <c r="S332" i="6"/>
  <c r="N332" i="6"/>
  <c r="L332" i="6"/>
  <c r="J332" i="6"/>
  <c r="H332" i="6"/>
  <c r="E332" i="6"/>
  <c r="D332" i="6"/>
  <c r="C332" i="6"/>
  <c r="B332" i="6"/>
  <c r="W331" i="6"/>
  <c r="V331" i="6"/>
  <c r="U331" i="6"/>
  <c r="S331" i="6"/>
  <c r="N331" i="6"/>
  <c r="L331" i="6"/>
  <c r="J331" i="6"/>
  <c r="H331" i="6"/>
  <c r="E331" i="6"/>
  <c r="D331" i="6"/>
  <c r="C331" i="6"/>
  <c r="B331" i="6"/>
  <c r="W531" i="6"/>
  <c r="V531" i="6"/>
  <c r="U531" i="6"/>
  <c r="S531" i="6"/>
  <c r="N531" i="6"/>
  <c r="L531" i="6"/>
  <c r="J531" i="6"/>
  <c r="H531" i="6"/>
  <c r="E531" i="6"/>
  <c r="D531" i="6"/>
  <c r="C531" i="6"/>
  <c r="B531" i="6"/>
  <c r="W520" i="6"/>
  <c r="V520" i="6"/>
  <c r="U520" i="6"/>
  <c r="S520" i="6"/>
  <c r="N520" i="6"/>
  <c r="L520" i="6"/>
  <c r="J520" i="6"/>
  <c r="H520" i="6"/>
  <c r="E520" i="6"/>
  <c r="D520" i="6"/>
  <c r="C520" i="6"/>
  <c r="B520" i="6"/>
  <c r="W540" i="6"/>
  <c r="V540" i="6"/>
  <c r="U540" i="6"/>
  <c r="S540" i="6"/>
  <c r="N540" i="6"/>
  <c r="L540" i="6"/>
  <c r="J540" i="6"/>
  <c r="H540" i="6"/>
  <c r="E540" i="6"/>
  <c r="D540" i="6"/>
  <c r="C540" i="6"/>
  <c r="B540" i="6"/>
  <c r="W448" i="6"/>
  <c r="V448" i="6"/>
  <c r="U448" i="6"/>
  <c r="S448" i="6"/>
  <c r="N448" i="6"/>
  <c r="L448" i="6"/>
  <c r="J448" i="6"/>
  <c r="H448" i="6"/>
  <c r="E448" i="6"/>
  <c r="D448" i="6"/>
  <c r="C448" i="6"/>
  <c r="B448" i="6"/>
  <c r="W447" i="6"/>
  <c r="V447" i="6"/>
  <c r="U447" i="6"/>
  <c r="S447" i="6"/>
  <c r="N447" i="6"/>
  <c r="L447" i="6"/>
  <c r="J447" i="6"/>
  <c r="H447" i="6"/>
  <c r="E447" i="6"/>
  <c r="D447" i="6"/>
  <c r="C447" i="6"/>
  <c r="B447" i="6"/>
  <c r="W269" i="6"/>
  <c r="V269" i="6"/>
  <c r="U269" i="6"/>
  <c r="S269" i="6"/>
  <c r="N269" i="6"/>
  <c r="L269" i="6"/>
  <c r="J269" i="6"/>
  <c r="H269" i="6"/>
  <c r="E269" i="6"/>
  <c r="D269" i="6"/>
  <c r="C269" i="6"/>
  <c r="B269" i="6"/>
  <c r="V268" i="6"/>
  <c r="U268" i="6"/>
  <c r="S268" i="6"/>
  <c r="N268" i="6"/>
  <c r="L268" i="6"/>
  <c r="J268" i="6"/>
  <c r="H268" i="6"/>
  <c r="E268" i="6"/>
  <c r="D268" i="6"/>
  <c r="C268" i="6"/>
  <c r="B268" i="6"/>
  <c r="W385" i="6"/>
  <c r="V385" i="6"/>
  <c r="U385" i="6"/>
  <c r="S385" i="6"/>
  <c r="N385" i="6"/>
  <c r="L385" i="6"/>
  <c r="J385" i="6"/>
  <c r="H385" i="6"/>
  <c r="E385" i="6"/>
  <c r="D385" i="6"/>
  <c r="C385" i="6"/>
  <c r="B385" i="6"/>
  <c r="W384" i="6"/>
  <c r="V384" i="6"/>
  <c r="U384" i="6"/>
  <c r="S384" i="6"/>
  <c r="N384" i="6"/>
  <c r="L384" i="6"/>
  <c r="J384" i="6"/>
  <c r="H384" i="6"/>
  <c r="E384" i="6"/>
  <c r="D384" i="6"/>
  <c r="C384" i="6"/>
  <c r="B384" i="6"/>
  <c r="V382" i="6"/>
  <c r="U382" i="6"/>
  <c r="S382" i="6"/>
  <c r="N382" i="6"/>
  <c r="L382" i="6"/>
  <c r="J382" i="6"/>
  <c r="H382" i="6"/>
  <c r="E382" i="6"/>
  <c r="D382" i="6"/>
  <c r="C382" i="6"/>
  <c r="B382" i="6"/>
  <c r="W381" i="6"/>
  <c r="V381" i="6"/>
  <c r="U381" i="6"/>
  <c r="S381" i="6"/>
  <c r="N381" i="6"/>
  <c r="L381" i="6"/>
  <c r="J381" i="6"/>
  <c r="H381" i="6"/>
  <c r="E381" i="6"/>
  <c r="D381" i="6"/>
  <c r="C381" i="6"/>
  <c r="B381" i="6"/>
  <c r="W363" i="6"/>
  <c r="V363" i="6"/>
  <c r="U363" i="6"/>
  <c r="S363" i="6"/>
  <c r="N363" i="6"/>
  <c r="L363" i="6"/>
  <c r="J363" i="6"/>
  <c r="H363" i="6"/>
  <c r="E363" i="6"/>
  <c r="D363" i="6"/>
  <c r="C363" i="6"/>
  <c r="B363" i="6"/>
  <c r="W362" i="6"/>
  <c r="V362" i="6"/>
  <c r="U362" i="6"/>
  <c r="S362" i="6"/>
  <c r="N362" i="6"/>
  <c r="L362" i="6"/>
  <c r="J362" i="6"/>
  <c r="H362" i="6"/>
  <c r="E362" i="6"/>
  <c r="D362" i="6"/>
  <c r="C362" i="6"/>
  <c r="B362" i="6"/>
  <c r="W361" i="6"/>
  <c r="V361" i="6"/>
  <c r="U361" i="6"/>
  <c r="S361" i="6"/>
  <c r="N361" i="6"/>
  <c r="L361" i="6"/>
  <c r="J361" i="6"/>
  <c r="H361" i="6"/>
  <c r="E361" i="6"/>
  <c r="D361" i="6"/>
  <c r="C361" i="6"/>
  <c r="B361" i="6"/>
  <c r="W170" i="6"/>
  <c r="V170" i="6"/>
  <c r="U170" i="6"/>
  <c r="S170" i="6"/>
  <c r="N170" i="6"/>
  <c r="L170" i="6"/>
  <c r="J170" i="6"/>
  <c r="H170" i="6"/>
  <c r="E170" i="6"/>
  <c r="D170" i="6"/>
  <c r="C170" i="6"/>
  <c r="B170" i="6"/>
  <c r="W167" i="6"/>
  <c r="V167" i="6"/>
  <c r="U167" i="6"/>
  <c r="S167" i="6"/>
  <c r="N167" i="6"/>
  <c r="L167" i="6"/>
  <c r="J167" i="6"/>
  <c r="H167" i="6"/>
  <c r="E167" i="6"/>
  <c r="D167" i="6"/>
  <c r="C167" i="6"/>
  <c r="B167" i="6"/>
  <c r="W142" i="6"/>
  <c r="V142" i="6"/>
  <c r="U142" i="6"/>
  <c r="S142" i="6"/>
  <c r="N142" i="6"/>
  <c r="L142" i="6"/>
  <c r="J142" i="6"/>
  <c r="H142" i="6"/>
  <c r="E142" i="6"/>
  <c r="D142" i="6"/>
  <c r="C142" i="6"/>
  <c r="B142" i="6"/>
  <c r="W139" i="6"/>
  <c r="V139" i="6"/>
  <c r="U139" i="6"/>
  <c r="S139" i="6"/>
  <c r="N139" i="6"/>
  <c r="L139" i="6"/>
  <c r="J139" i="6"/>
  <c r="H139" i="6"/>
  <c r="E139" i="6"/>
  <c r="D139" i="6"/>
  <c r="C139" i="6"/>
  <c r="B139" i="6"/>
  <c r="W478" i="6"/>
  <c r="V478" i="6"/>
  <c r="U478" i="6"/>
  <c r="S478" i="6"/>
  <c r="N478" i="6"/>
  <c r="L478" i="6"/>
  <c r="J478" i="6"/>
  <c r="H478" i="6"/>
  <c r="E478" i="6"/>
  <c r="D478" i="6"/>
  <c r="C478" i="6"/>
  <c r="B478" i="6"/>
  <c r="W303" i="6"/>
  <c r="V303" i="6"/>
  <c r="U303" i="6"/>
  <c r="S303" i="6"/>
  <c r="N303" i="6"/>
  <c r="L303" i="6"/>
  <c r="J303" i="6"/>
  <c r="H303" i="6"/>
  <c r="E303" i="6"/>
  <c r="D303" i="6"/>
  <c r="C303" i="6"/>
  <c r="B303" i="6"/>
  <c r="W302" i="6"/>
  <c r="V302" i="6"/>
  <c r="U302" i="6"/>
  <c r="S302" i="6"/>
  <c r="N302" i="6"/>
  <c r="L302" i="6"/>
  <c r="J302" i="6"/>
  <c r="H302" i="6"/>
  <c r="E302" i="6"/>
  <c r="D302" i="6"/>
  <c r="C302" i="6"/>
  <c r="B302" i="6"/>
  <c r="W299" i="6"/>
  <c r="V299" i="6"/>
  <c r="U299" i="6"/>
  <c r="S299" i="6"/>
  <c r="N299" i="6"/>
  <c r="L299" i="6"/>
  <c r="J299" i="6"/>
  <c r="H299" i="6"/>
  <c r="E299" i="6"/>
  <c r="D299" i="6"/>
  <c r="C299" i="6"/>
  <c r="B299" i="6"/>
  <c r="W112" i="6"/>
  <c r="V112" i="6"/>
  <c r="U112" i="6"/>
  <c r="S112" i="6"/>
  <c r="N112" i="6"/>
  <c r="L112" i="6"/>
  <c r="J112" i="6"/>
  <c r="H112" i="6"/>
  <c r="E112" i="6"/>
  <c r="D112" i="6"/>
  <c r="C112" i="6"/>
  <c r="B112" i="6"/>
  <c r="V176" i="6"/>
  <c r="U176" i="6"/>
  <c r="S176" i="6"/>
  <c r="N176" i="6"/>
  <c r="L176" i="6"/>
  <c r="J176" i="6"/>
  <c r="H176" i="6"/>
  <c r="E176" i="6"/>
  <c r="D176" i="6"/>
  <c r="C176" i="6"/>
  <c r="B176" i="6"/>
  <c r="W174" i="6"/>
  <c r="V174" i="6"/>
  <c r="U174" i="6"/>
  <c r="S174" i="6"/>
  <c r="N174" i="6"/>
  <c r="L174" i="6"/>
  <c r="J174" i="6"/>
  <c r="H174" i="6"/>
  <c r="E174" i="6"/>
  <c r="D174" i="6"/>
  <c r="C174" i="6"/>
  <c r="B174" i="6"/>
  <c r="W82" i="6"/>
  <c r="V82" i="6"/>
  <c r="U82" i="6"/>
  <c r="S82" i="6"/>
  <c r="N82" i="6"/>
  <c r="L82" i="6"/>
  <c r="J82" i="6"/>
  <c r="H82" i="6"/>
  <c r="E82" i="6"/>
  <c r="D82" i="6"/>
  <c r="C82" i="6"/>
  <c r="B82" i="6"/>
  <c r="W80" i="6"/>
  <c r="V80" i="6"/>
  <c r="U80" i="6"/>
  <c r="S80" i="6"/>
  <c r="N80" i="6"/>
  <c r="L80" i="6"/>
  <c r="J80" i="6"/>
  <c r="H80" i="6"/>
  <c r="E80" i="6"/>
  <c r="D80" i="6"/>
  <c r="C80" i="6"/>
  <c r="B80" i="6"/>
  <c r="W78" i="6"/>
  <c r="V78" i="6"/>
  <c r="U78" i="6"/>
  <c r="S78" i="6"/>
  <c r="N78" i="6"/>
  <c r="L78" i="6"/>
  <c r="J78" i="6"/>
  <c r="H78" i="6"/>
  <c r="E78" i="6"/>
  <c r="D78" i="6"/>
  <c r="C78" i="6"/>
  <c r="B78" i="6"/>
  <c r="W74" i="6"/>
  <c r="V74" i="6"/>
  <c r="U74" i="6"/>
  <c r="S74" i="6"/>
  <c r="N74" i="6"/>
  <c r="L74" i="6"/>
  <c r="J74" i="6"/>
  <c r="H74" i="6"/>
  <c r="E74" i="6"/>
  <c r="D74" i="6"/>
  <c r="C74" i="6"/>
  <c r="B74" i="6"/>
  <c r="W72" i="6"/>
  <c r="V72" i="6"/>
  <c r="U72" i="6"/>
  <c r="S72" i="6"/>
  <c r="N72" i="6"/>
  <c r="L72" i="6"/>
  <c r="J72" i="6"/>
  <c r="H72" i="6"/>
  <c r="E72" i="6"/>
  <c r="D72" i="6"/>
  <c r="C72" i="6"/>
  <c r="B72" i="6"/>
  <c r="W71" i="6"/>
  <c r="V71" i="6"/>
  <c r="U71" i="6"/>
  <c r="S71" i="6"/>
  <c r="N71" i="6"/>
  <c r="L71" i="6"/>
  <c r="J71" i="6"/>
  <c r="H71" i="6"/>
  <c r="E71" i="6"/>
  <c r="D71" i="6"/>
  <c r="C71" i="6"/>
  <c r="B71" i="6"/>
  <c r="V70" i="6"/>
  <c r="U70" i="6"/>
  <c r="S70" i="6"/>
  <c r="N70" i="6"/>
  <c r="L70" i="6"/>
  <c r="J70" i="6"/>
  <c r="H70" i="6"/>
  <c r="E70" i="6"/>
  <c r="D70" i="6"/>
  <c r="C70" i="6"/>
  <c r="B70" i="6"/>
  <c r="W69" i="6"/>
  <c r="V69" i="6"/>
  <c r="U69" i="6"/>
  <c r="S69" i="6"/>
  <c r="N69" i="6"/>
  <c r="L69" i="6"/>
  <c r="J69" i="6"/>
  <c r="H69" i="6"/>
  <c r="E69" i="6"/>
  <c r="D69" i="6"/>
  <c r="C69" i="6"/>
  <c r="B69" i="6"/>
  <c r="W68" i="6"/>
  <c r="V68" i="6"/>
  <c r="U68" i="6"/>
  <c r="S68" i="6"/>
  <c r="N68" i="6"/>
  <c r="L68" i="6"/>
  <c r="J68" i="6"/>
  <c r="H68" i="6"/>
  <c r="E68" i="6"/>
  <c r="D68" i="6"/>
  <c r="C68" i="6"/>
  <c r="B68" i="6"/>
  <c r="V66" i="6"/>
  <c r="U66" i="6"/>
  <c r="S66" i="6"/>
  <c r="N66" i="6"/>
  <c r="L66" i="6"/>
  <c r="J66" i="6"/>
  <c r="H66" i="6"/>
  <c r="E66" i="6"/>
  <c r="D66" i="6"/>
  <c r="C66" i="6"/>
  <c r="B66" i="6"/>
  <c r="W65" i="6"/>
  <c r="V65" i="6"/>
  <c r="U65" i="6"/>
  <c r="S65" i="6"/>
  <c r="N65" i="6"/>
  <c r="L65" i="6"/>
  <c r="J65" i="6"/>
  <c r="H65" i="6"/>
  <c r="E65" i="6"/>
  <c r="D65" i="6"/>
  <c r="C65" i="6"/>
  <c r="B65" i="6"/>
  <c r="W64" i="6"/>
  <c r="V64" i="6"/>
  <c r="U64" i="6"/>
  <c r="S64" i="6"/>
  <c r="N64" i="6"/>
  <c r="L64" i="6"/>
  <c r="J64" i="6"/>
  <c r="H64" i="6"/>
  <c r="E64" i="6"/>
  <c r="D64" i="6"/>
  <c r="C64" i="6"/>
  <c r="B64" i="6"/>
  <c r="W59" i="6"/>
  <c r="V59" i="6"/>
  <c r="U59" i="6"/>
  <c r="S59" i="6"/>
  <c r="N59" i="6"/>
  <c r="L59" i="6"/>
  <c r="J59" i="6"/>
  <c r="H59" i="6"/>
  <c r="E59" i="6"/>
  <c r="D59" i="6"/>
  <c r="C59" i="6"/>
  <c r="B59" i="6"/>
  <c r="W56" i="6"/>
  <c r="V56" i="6"/>
  <c r="U56" i="6"/>
  <c r="S56" i="6"/>
  <c r="N56" i="6"/>
  <c r="L56" i="6"/>
  <c r="J56" i="6"/>
  <c r="H56" i="6"/>
  <c r="E56" i="6"/>
  <c r="D56" i="6"/>
  <c r="C56" i="6"/>
  <c r="B56" i="6"/>
  <c r="W55" i="6"/>
  <c r="V55" i="6"/>
  <c r="U55" i="6"/>
  <c r="S55" i="6"/>
  <c r="N55" i="6"/>
  <c r="L55" i="6"/>
  <c r="J55" i="6"/>
  <c r="H55" i="6"/>
  <c r="E55" i="6"/>
  <c r="D55" i="6"/>
  <c r="C55" i="6"/>
  <c r="B55" i="6"/>
  <c r="V54" i="6"/>
  <c r="U54" i="6"/>
  <c r="S54" i="6"/>
  <c r="N54" i="6"/>
  <c r="L54" i="6"/>
  <c r="J54" i="6"/>
  <c r="H54" i="6"/>
  <c r="E54" i="6"/>
  <c r="D54" i="6"/>
  <c r="C54" i="6"/>
  <c r="B54" i="6"/>
  <c r="W51" i="6"/>
  <c r="V51" i="6"/>
  <c r="U51" i="6"/>
  <c r="S51" i="6"/>
  <c r="N51" i="6"/>
  <c r="L51" i="6"/>
  <c r="J51" i="6"/>
  <c r="H51" i="6"/>
  <c r="E51" i="6"/>
  <c r="D51" i="6"/>
  <c r="C51" i="6"/>
  <c r="B51" i="6"/>
  <c r="AB124" i="41"/>
  <c r="AB396" i="41"/>
  <c r="AB377" i="41"/>
  <c r="AB375" i="41"/>
  <c r="AB426" i="41"/>
  <c r="AB414" i="41"/>
  <c r="AB413" i="41"/>
  <c r="AB409" i="41"/>
  <c r="AB404" i="41"/>
  <c r="AB319" i="41"/>
  <c r="AB318" i="41"/>
  <c r="AB518" i="41"/>
  <c r="AB516" i="41"/>
  <c r="AB507" i="41"/>
  <c r="AB501" i="41"/>
  <c r="AB498" i="41"/>
  <c r="AB551" i="41"/>
  <c r="AB532" i="41"/>
  <c r="AB527" i="41"/>
  <c r="AB455" i="41"/>
  <c r="AB453" i="41"/>
  <c r="AB452" i="41"/>
  <c r="AB445" i="41"/>
  <c r="AB435" i="41"/>
  <c r="AB434" i="41"/>
  <c r="AB270" i="41"/>
  <c r="AB268" i="41"/>
  <c r="AB267" i="41"/>
  <c r="AB264" i="41"/>
  <c r="AB262" i="41"/>
  <c r="AB261" i="41"/>
  <c r="AB260" i="41"/>
  <c r="AB259" i="41"/>
  <c r="AB256" i="41"/>
  <c r="AB255" i="41"/>
  <c r="AB372" i="41"/>
  <c r="AB371" i="41"/>
  <c r="AB369" i="41"/>
  <c r="AB368" i="41"/>
  <c r="AB365" i="41"/>
  <c r="AB364" i="41"/>
  <c r="AB356" i="41"/>
  <c r="AB354" i="41"/>
  <c r="AB352" i="41"/>
  <c r="AB351" i="41"/>
  <c r="AB350" i="41"/>
  <c r="AB349" i="41"/>
  <c r="AB348" i="41"/>
  <c r="AB157" i="41"/>
  <c r="AB154" i="41"/>
  <c r="AB138" i="41"/>
  <c r="AB137" i="41"/>
  <c r="AB129" i="41"/>
  <c r="AB126" i="41"/>
  <c r="AB493" i="41"/>
  <c r="AB483" i="41"/>
  <c r="AB482" i="41"/>
  <c r="AB481" i="41"/>
  <c r="AB477" i="41"/>
  <c r="AB472" i="41"/>
  <c r="AB465" i="41"/>
  <c r="AB303" i="41"/>
  <c r="AB308" i="41"/>
  <c r="AB307" i="41"/>
  <c r="AB290" i="41"/>
  <c r="AB289" i="41"/>
  <c r="AB286" i="41"/>
  <c r="AB111" i="41"/>
  <c r="AB99" i="41"/>
  <c r="AB180" i="41"/>
  <c r="AB179" i="41"/>
  <c r="AB175" i="41"/>
  <c r="AB172" i="41"/>
  <c r="AB170" i="41"/>
  <c r="AB169" i="41"/>
  <c r="AB168" i="41"/>
  <c r="AB167" i="41"/>
  <c r="AB163" i="41"/>
  <c r="AB161" i="41"/>
  <c r="AB215" i="41"/>
  <c r="AB206" i="41"/>
  <c r="AB216" i="41"/>
  <c r="AB202" i="41"/>
  <c r="AB190" i="41"/>
  <c r="AB252" i="41"/>
  <c r="AB246" i="41"/>
  <c r="AB233" i="41"/>
  <c r="AB231" i="41"/>
  <c r="AB230" i="41"/>
  <c r="AB227" i="41"/>
  <c r="AB69" i="41"/>
  <c r="AB67" i="41"/>
  <c r="AB65" i="41"/>
  <c r="AB61" i="41"/>
  <c r="AB51" i="41"/>
  <c r="AB46" i="41"/>
  <c r="AB43" i="41"/>
  <c r="AB42" i="41"/>
  <c r="AB41" i="41"/>
  <c r="AB38" i="41"/>
  <c r="AB76" i="41"/>
  <c r="AB77" i="41"/>
  <c r="AB78" i="41"/>
  <c r="AB79" i="41"/>
  <c r="AB80" i="41"/>
  <c r="W26" i="6"/>
  <c r="V26" i="6"/>
  <c r="U26" i="6"/>
  <c r="S26" i="6"/>
  <c r="N26" i="6"/>
  <c r="L26" i="6"/>
  <c r="J26" i="6"/>
  <c r="H26" i="6"/>
  <c r="E26" i="6"/>
  <c r="D26" i="6"/>
  <c r="C26" i="6"/>
  <c r="B26" i="6"/>
  <c r="W25" i="6"/>
  <c r="V25" i="6"/>
  <c r="U25" i="6"/>
  <c r="S25" i="6"/>
  <c r="N25" i="6"/>
  <c r="L25" i="6"/>
  <c r="J25" i="6"/>
  <c r="H25" i="6"/>
  <c r="E25" i="6"/>
  <c r="D25" i="6"/>
  <c r="C25" i="6"/>
  <c r="B25" i="6"/>
  <c r="W392" i="6" l="1"/>
  <c r="V392" i="6"/>
  <c r="U392" i="6"/>
  <c r="S392" i="6"/>
  <c r="N392" i="6"/>
  <c r="L392" i="6"/>
  <c r="J392" i="6"/>
  <c r="H392" i="6"/>
  <c r="E392" i="6"/>
  <c r="D392" i="6"/>
  <c r="C392" i="6"/>
  <c r="B392" i="6"/>
  <c r="AB379" i="41"/>
  <c r="AB34" i="41"/>
  <c r="AB19" i="41" l="1"/>
  <c r="B84" i="6" l="1"/>
  <c r="W410" i="6" l="1"/>
  <c r="V410" i="6"/>
  <c r="U410" i="6"/>
  <c r="S410" i="6"/>
  <c r="N410" i="6"/>
  <c r="L410" i="6"/>
  <c r="J410" i="6"/>
  <c r="H410" i="6"/>
  <c r="E410" i="6"/>
  <c r="D410" i="6"/>
  <c r="C410" i="6"/>
  <c r="B410" i="6"/>
  <c r="AB397" i="41"/>
  <c r="W115" i="6"/>
  <c r="V115" i="6"/>
  <c r="U115" i="6"/>
  <c r="S115" i="6"/>
  <c r="N115" i="6"/>
  <c r="L115" i="6"/>
  <c r="J115" i="6"/>
  <c r="H115" i="6"/>
  <c r="E115" i="6"/>
  <c r="D115" i="6"/>
  <c r="C115" i="6"/>
  <c r="B115" i="6"/>
  <c r="AB102" i="41"/>
  <c r="AB27" i="41"/>
  <c r="W89" i="6" l="1"/>
  <c r="V89" i="6"/>
  <c r="U89" i="6"/>
  <c r="S89" i="6"/>
  <c r="N89" i="6"/>
  <c r="L89" i="6"/>
  <c r="J89" i="6"/>
  <c r="H89" i="6"/>
  <c r="E89" i="6"/>
  <c r="D89" i="6"/>
  <c r="C89" i="6"/>
  <c r="B89" i="6"/>
  <c r="AB92" i="41" l="1"/>
  <c r="W21" i="6" l="1"/>
  <c r="V21" i="6"/>
  <c r="U21" i="6"/>
  <c r="S21" i="6"/>
  <c r="N21" i="6"/>
  <c r="L21" i="6"/>
  <c r="J21" i="6"/>
  <c r="H21" i="6"/>
  <c r="E21" i="6"/>
  <c r="D21" i="6"/>
  <c r="C21" i="6"/>
  <c r="B21" i="6"/>
  <c r="AB8" i="41"/>
  <c r="AB357" i="41" l="1"/>
  <c r="W420" i="6"/>
  <c r="V420" i="6"/>
  <c r="U420" i="6"/>
  <c r="S420" i="6"/>
  <c r="N420" i="6"/>
  <c r="L420" i="6"/>
  <c r="J420" i="6"/>
  <c r="H420" i="6"/>
  <c r="E420" i="6"/>
  <c r="D420" i="6"/>
  <c r="C420" i="6"/>
  <c r="B420" i="6"/>
  <c r="AB407" i="41"/>
  <c r="V75" i="6" l="1"/>
  <c r="U75" i="6"/>
  <c r="S75" i="6"/>
  <c r="N75" i="6"/>
  <c r="L75" i="6"/>
  <c r="J75" i="6"/>
  <c r="H75" i="6"/>
  <c r="E75" i="6"/>
  <c r="D75" i="6"/>
  <c r="C75" i="6"/>
  <c r="B75" i="6"/>
  <c r="AB62" i="41"/>
  <c r="W449" i="6" l="1"/>
  <c r="V449" i="6"/>
  <c r="U449" i="6"/>
  <c r="S449" i="6"/>
  <c r="N449" i="6"/>
  <c r="L449" i="6"/>
  <c r="J449" i="6"/>
  <c r="H449" i="6"/>
  <c r="E449" i="6"/>
  <c r="D449" i="6"/>
  <c r="C449" i="6"/>
  <c r="B449" i="6"/>
  <c r="AB436" i="41"/>
  <c r="W125" i="6" l="1"/>
  <c r="V125" i="6"/>
  <c r="U125" i="6"/>
  <c r="S125" i="6"/>
  <c r="N125" i="6"/>
  <c r="L125" i="6"/>
  <c r="J125" i="6"/>
  <c r="H125" i="6"/>
  <c r="E125" i="6"/>
  <c r="D125" i="6"/>
  <c r="C125" i="6"/>
  <c r="B125" i="6"/>
  <c r="V479" i="6"/>
  <c r="U479" i="6"/>
  <c r="S479" i="6"/>
  <c r="N479" i="6"/>
  <c r="L479" i="6"/>
  <c r="J479" i="6"/>
  <c r="H479" i="6"/>
  <c r="E479" i="6"/>
  <c r="D479" i="6"/>
  <c r="C479" i="6"/>
  <c r="B479" i="6"/>
  <c r="W153" i="6"/>
  <c r="V153" i="6"/>
  <c r="U153" i="6"/>
  <c r="S153" i="6"/>
  <c r="N153" i="6"/>
  <c r="L153" i="6"/>
  <c r="J153" i="6"/>
  <c r="H153" i="6"/>
  <c r="E153" i="6"/>
  <c r="D153" i="6"/>
  <c r="C153" i="6"/>
  <c r="B153" i="6"/>
  <c r="V271" i="6"/>
  <c r="U271" i="6"/>
  <c r="S271" i="6"/>
  <c r="N271" i="6"/>
  <c r="L271" i="6"/>
  <c r="J271" i="6"/>
  <c r="H271" i="6"/>
  <c r="E271" i="6"/>
  <c r="D271" i="6"/>
  <c r="C271" i="6"/>
  <c r="B271" i="6"/>
  <c r="AB177" i="41" l="1"/>
  <c r="W242" i="6"/>
  <c r="V242" i="6"/>
  <c r="U242" i="6"/>
  <c r="S242" i="6"/>
  <c r="N242" i="6"/>
  <c r="L242" i="6"/>
  <c r="J242" i="6"/>
  <c r="H242" i="6"/>
  <c r="E242" i="6"/>
  <c r="D242" i="6"/>
  <c r="C242" i="6"/>
  <c r="B242" i="6"/>
  <c r="W23" i="6"/>
  <c r="V23" i="6"/>
  <c r="U23" i="6"/>
  <c r="S23" i="6"/>
  <c r="N23" i="6"/>
  <c r="L23" i="6"/>
  <c r="J23" i="6"/>
  <c r="H23" i="6"/>
  <c r="E23" i="6"/>
  <c r="D23" i="6"/>
  <c r="C23" i="6"/>
  <c r="B23" i="6"/>
  <c r="B20" i="6"/>
  <c r="C20" i="6"/>
  <c r="D20" i="6"/>
  <c r="E20" i="6"/>
  <c r="H20" i="6"/>
  <c r="J20" i="6"/>
  <c r="L20" i="6"/>
  <c r="N20" i="6"/>
  <c r="S20" i="6"/>
  <c r="U20" i="6"/>
  <c r="V20" i="6"/>
  <c r="W20" i="6"/>
  <c r="AB346" i="41"/>
  <c r="AB347" i="41"/>
  <c r="AB367" i="41"/>
  <c r="AB112" i="41" l="1"/>
  <c r="W267" i="6" l="1"/>
  <c r="V267" i="6"/>
  <c r="U267" i="6"/>
  <c r="S267" i="6"/>
  <c r="N267" i="6"/>
  <c r="L267" i="6"/>
  <c r="J267" i="6"/>
  <c r="H267" i="6"/>
  <c r="E267" i="6"/>
  <c r="D267" i="6"/>
  <c r="C267" i="6"/>
  <c r="B267" i="6"/>
  <c r="AB229" i="41"/>
  <c r="W537" i="6"/>
  <c r="V537" i="6"/>
  <c r="U537" i="6"/>
  <c r="S537" i="6"/>
  <c r="N537" i="6"/>
  <c r="L537" i="6"/>
  <c r="J537" i="6"/>
  <c r="H537" i="6"/>
  <c r="E537" i="6"/>
  <c r="D537" i="6"/>
  <c r="C537" i="6"/>
  <c r="B537" i="6"/>
  <c r="AB524" i="41"/>
  <c r="W322" i="6" l="1"/>
  <c r="V322" i="6"/>
  <c r="U322" i="6"/>
  <c r="S322" i="6"/>
  <c r="N322" i="6"/>
  <c r="L322" i="6"/>
  <c r="J322" i="6"/>
  <c r="H322" i="6"/>
  <c r="E322" i="6"/>
  <c r="D322" i="6"/>
  <c r="C322" i="6"/>
  <c r="B322" i="6"/>
  <c r="AB309" i="41"/>
  <c r="W85" i="6" l="1"/>
  <c r="V85" i="6"/>
  <c r="U85" i="6"/>
  <c r="S85" i="6"/>
  <c r="N85" i="6"/>
  <c r="L85" i="6"/>
  <c r="J85" i="6"/>
  <c r="H85" i="6"/>
  <c r="E85" i="6"/>
  <c r="D85" i="6"/>
  <c r="C85" i="6"/>
  <c r="B85" i="6"/>
  <c r="AB458" i="41"/>
  <c r="AB13" i="41"/>
  <c r="AB140" i="41" l="1"/>
  <c r="AB133" i="41"/>
  <c r="W475" i="6"/>
  <c r="V475" i="6"/>
  <c r="U475" i="6"/>
  <c r="S475" i="6"/>
  <c r="N475" i="6"/>
  <c r="L475" i="6"/>
  <c r="J475" i="6"/>
  <c r="H475" i="6"/>
  <c r="E475" i="6"/>
  <c r="D475" i="6"/>
  <c r="C475" i="6"/>
  <c r="B475" i="6"/>
  <c r="AB480" i="41"/>
  <c r="AB466" i="41"/>
  <c r="AB462" i="41"/>
  <c r="W239" i="6"/>
  <c r="V239" i="6"/>
  <c r="U239" i="6"/>
  <c r="S239" i="6"/>
  <c r="N239" i="6"/>
  <c r="L239" i="6"/>
  <c r="J239" i="6"/>
  <c r="H239" i="6"/>
  <c r="E239" i="6"/>
  <c r="D239" i="6"/>
  <c r="C239" i="6"/>
  <c r="B239" i="6"/>
  <c r="AB254" i="41"/>
  <c r="AB258" i="41"/>
  <c r="V53" i="6"/>
  <c r="U53" i="6"/>
  <c r="S53" i="6"/>
  <c r="N53" i="6"/>
  <c r="L53" i="6"/>
  <c r="J53" i="6"/>
  <c r="H53" i="6"/>
  <c r="E53" i="6"/>
  <c r="D53" i="6"/>
  <c r="C53" i="6"/>
  <c r="B53" i="6"/>
  <c r="AB40" i="41"/>
  <c r="C502" i="6" l="1"/>
  <c r="W351" i="6"/>
  <c r="V351" i="6"/>
  <c r="U351" i="6"/>
  <c r="S351" i="6"/>
  <c r="N351" i="6"/>
  <c r="L351" i="6"/>
  <c r="J351" i="6"/>
  <c r="H351" i="6"/>
  <c r="E351" i="6"/>
  <c r="D351" i="6"/>
  <c r="C351" i="6"/>
  <c r="B351" i="6"/>
  <c r="C342" i="6"/>
  <c r="C333" i="6"/>
  <c r="C329" i="6"/>
  <c r="C530" i="6"/>
  <c r="C512" i="6"/>
  <c r="W512" i="6"/>
  <c r="V512" i="6"/>
  <c r="U512" i="6"/>
  <c r="S512" i="6"/>
  <c r="N512" i="6"/>
  <c r="L512" i="6"/>
  <c r="J512" i="6"/>
  <c r="H512" i="6"/>
  <c r="E512" i="6"/>
  <c r="D512" i="6"/>
  <c r="B512" i="6"/>
  <c r="C508" i="6"/>
  <c r="C541" i="6"/>
  <c r="C166" i="6" l="1"/>
  <c r="C138" i="6"/>
  <c r="C106" i="6"/>
  <c r="C84" i="6"/>
  <c r="C111" i="6"/>
  <c r="C289" i="6"/>
  <c r="C440" i="6"/>
  <c r="C416" i="6"/>
  <c r="C208" i="6"/>
  <c r="C202" i="6"/>
  <c r="C380" i="6"/>
  <c r="C370" i="6"/>
  <c r="C360" i="6"/>
  <c r="C49" i="6"/>
  <c r="C402" i="6"/>
  <c r="C387" i="6"/>
  <c r="C446" i="6"/>
  <c r="AB499" i="41"/>
  <c r="AB84" i="41"/>
  <c r="C172" i="6"/>
  <c r="C314" i="6"/>
  <c r="C298" i="6"/>
  <c r="AB10" i="41"/>
  <c r="C22" i="6"/>
  <c r="C16" i="6"/>
  <c r="AB461" i="41" l="1"/>
  <c r="B238" i="6" l="1"/>
  <c r="W440" i="6" l="1"/>
  <c r="V440" i="6"/>
  <c r="U440" i="6"/>
  <c r="S440" i="6"/>
  <c r="N440" i="6"/>
  <c r="L440" i="6"/>
  <c r="J440" i="6"/>
  <c r="H440" i="6"/>
  <c r="E440" i="6"/>
  <c r="D440" i="6"/>
  <c r="B440" i="6"/>
  <c r="AB90" i="41" l="1"/>
  <c r="AB12" i="41"/>
  <c r="AB72" i="41"/>
  <c r="AB97" i="41" l="1"/>
  <c r="G40" i="8" l="1"/>
  <c r="C28" i="8"/>
  <c r="G43" i="8" l="1"/>
  <c r="W530" i="6" l="1"/>
  <c r="V530" i="6"/>
  <c r="U530" i="6"/>
  <c r="S530" i="6"/>
  <c r="N530" i="6"/>
  <c r="L530" i="6"/>
  <c r="J530" i="6"/>
  <c r="H530" i="6"/>
  <c r="E530" i="6"/>
  <c r="D530" i="6"/>
  <c r="B530" i="6"/>
  <c r="AB517" i="41"/>
  <c r="W380" i="6" l="1"/>
  <c r="V380" i="6"/>
  <c r="U380" i="6"/>
  <c r="S380" i="6"/>
  <c r="N380" i="6"/>
  <c r="L380" i="6"/>
  <c r="J380" i="6"/>
  <c r="H380" i="6"/>
  <c r="E380" i="6"/>
  <c r="D380" i="6"/>
  <c r="B380" i="6"/>
  <c r="V370" i="6"/>
  <c r="U370" i="6"/>
  <c r="S370" i="6"/>
  <c r="N370" i="6"/>
  <c r="L370" i="6"/>
  <c r="J370" i="6"/>
  <c r="H370" i="6"/>
  <c r="E370" i="6"/>
  <c r="D370" i="6"/>
  <c r="B370" i="6"/>
  <c r="W22" i="6" l="1"/>
  <c r="V22" i="6"/>
  <c r="U22" i="6"/>
  <c r="S22" i="6"/>
  <c r="N22" i="6"/>
  <c r="L22" i="6"/>
  <c r="J22" i="6"/>
  <c r="H22" i="6"/>
  <c r="E22" i="6"/>
  <c r="D22" i="6"/>
  <c r="B22" i="6"/>
  <c r="AB70" i="41" l="1"/>
  <c r="AB71" i="41"/>
  <c r="S25" i="21" l="1"/>
  <c r="K25" i="21"/>
  <c r="O24" i="21"/>
  <c r="K24" i="21"/>
  <c r="S23" i="21"/>
  <c r="O23" i="21"/>
  <c r="K23" i="21"/>
  <c r="S22" i="21"/>
  <c r="O22" i="21"/>
  <c r="S21" i="21"/>
  <c r="K21" i="21"/>
  <c r="G28" i="21"/>
  <c r="G13" i="21"/>
  <c r="G27" i="21"/>
  <c r="W12" i="21"/>
  <c r="G12" i="21"/>
  <c r="G26" i="21"/>
  <c r="W11" i="21"/>
  <c r="G11" i="21"/>
  <c r="G25" i="21"/>
  <c r="W10" i="21"/>
  <c r="G10" i="21"/>
  <c r="G24" i="21"/>
  <c r="W9" i="21"/>
  <c r="G9" i="21"/>
  <c r="G23" i="21"/>
  <c r="W8" i="21"/>
  <c r="G8" i="21"/>
  <c r="G22" i="21"/>
  <c r="W7" i="21"/>
  <c r="G7" i="21"/>
  <c r="G21" i="21"/>
  <c r="W6" i="21"/>
  <c r="O21" i="21"/>
  <c r="O27" i="21"/>
  <c r="O28" i="21"/>
  <c r="H16" i="6"/>
  <c r="D8" i="39"/>
  <c r="C8" i="39"/>
  <c r="J16" i="6"/>
  <c r="L16" i="6"/>
  <c r="N16" i="6"/>
  <c r="S16" i="6"/>
  <c r="U16" i="6"/>
  <c r="V16" i="6"/>
  <c r="D49" i="6"/>
  <c r="D16" i="6"/>
  <c r="C1" i="39"/>
  <c r="D1" i="39"/>
  <c r="C7" i="39"/>
  <c r="D7" i="39"/>
  <c r="D387" i="6"/>
  <c r="D402" i="6"/>
  <c r="D298" i="6"/>
  <c r="D314" i="6"/>
  <c r="D172" i="6"/>
  <c r="D138" i="6"/>
  <c r="D166" i="6"/>
  <c r="D84" i="6"/>
  <c r="D106" i="6"/>
  <c r="D416" i="6"/>
  <c r="D111" i="6"/>
  <c r="D360" i="6"/>
  <c r="D329" i="6"/>
  <c r="D333" i="6"/>
  <c r="D342" i="6"/>
  <c r="D289" i="6"/>
  <c r="D446" i="6"/>
  <c r="D508" i="6"/>
  <c r="C2" i="39"/>
  <c r="D2" i="39"/>
  <c r="D9" i="39"/>
  <c r="C9" i="39"/>
  <c r="D4" i="39"/>
  <c r="C4" i="39"/>
  <c r="H314" i="6"/>
  <c r="S314" i="6"/>
  <c r="V314" i="6"/>
  <c r="J314" i="6"/>
  <c r="L314" i="6"/>
  <c r="N314" i="6"/>
  <c r="U314" i="6"/>
  <c r="D3" i="39"/>
  <c r="C3" i="39"/>
  <c r="K22" i="21"/>
  <c r="K28" i="21"/>
  <c r="S24" i="21"/>
  <c r="C6" i="39"/>
  <c r="D6" i="39"/>
  <c r="C5" i="39"/>
  <c r="D5" i="39"/>
  <c r="W541" i="6"/>
  <c r="V541" i="6"/>
  <c r="U541" i="6"/>
  <c r="S541" i="6"/>
  <c r="N541" i="6"/>
  <c r="L541" i="6"/>
  <c r="J541" i="6"/>
  <c r="H541" i="6"/>
  <c r="E541" i="6"/>
  <c r="D541" i="6"/>
  <c r="B541" i="6"/>
  <c r="B536" i="6" s="1"/>
  <c r="AB33" i="41"/>
  <c r="C49" i="8" s="1"/>
  <c r="G42" i="8"/>
  <c r="D502" i="6"/>
  <c r="D202" i="6"/>
  <c r="D208" i="6"/>
  <c r="AB3" i="41"/>
  <c r="AB7" i="41"/>
  <c r="AB301" i="41"/>
  <c r="G29" i="8" s="1"/>
  <c r="G10" i="8"/>
  <c r="K40" i="8"/>
  <c r="K46" i="8"/>
  <c r="W106" i="6"/>
  <c r="I10" i="6"/>
  <c r="V502" i="6"/>
  <c r="U502" i="6"/>
  <c r="S502" i="6"/>
  <c r="N502" i="6"/>
  <c r="L502" i="6"/>
  <c r="J502" i="6"/>
  <c r="H502" i="6"/>
  <c r="E502" i="6"/>
  <c r="B502" i="6"/>
  <c r="B474" i="6" s="1"/>
  <c r="AB489" i="41"/>
  <c r="K14" i="8" s="1"/>
  <c r="V289" i="6"/>
  <c r="U289" i="6"/>
  <c r="S289" i="6"/>
  <c r="N289" i="6"/>
  <c r="L289" i="6"/>
  <c r="J289" i="6"/>
  <c r="H289" i="6"/>
  <c r="E289" i="6"/>
  <c r="B289" i="6"/>
  <c r="AB276" i="41"/>
  <c r="AB9" i="41"/>
  <c r="C6" i="8" s="1"/>
  <c r="B111" i="6"/>
  <c r="V111" i="6"/>
  <c r="U111" i="6"/>
  <c r="S111" i="6"/>
  <c r="N111" i="6"/>
  <c r="L111" i="6"/>
  <c r="J111" i="6"/>
  <c r="H111" i="6"/>
  <c r="E111" i="6"/>
  <c r="AB98" i="41"/>
  <c r="V106" i="6"/>
  <c r="U106" i="6"/>
  <c r="S106" i="6"/>
  <c r="N106" i="6"/>
  <c r="L106" i="6"/>
  <c r="J106" i="6"/>
  <c r="H106" i="6"/>
  <c r="E106" i="6"/>
  <c r="B106" i="6"/>
  <c r="AB528" i="41"/>
  <c r="B314" i="6"/>
  <c r="E314" i="6"/>
  <c r="G44" i="8"/>
  <c r="W202" i="6"/>
  <c r="V202" i="6"/>
  <c r="U202" i="6"/>
  <c r="S202" i="6"/>
  <c r="N202" i="6"/>
  <c r="L202" i="6"/>
  <c r="J202" i="6"/>
  <c r="H202" i="6"/>
  <c r="E202" i="6"/>
  <c r="B202" i="6"/>
  <c r="AB189" i="41"/>
  <c r="B172" i="6"/>
  <c r="B360" i="6"/>
  <c r="B359" i="6" s="1"/>
  <c r="AB159" i="41"/>
  <c r="H172" i="6"/>
  <c r="W402" i="6"/>
  <c r="V402" i="6"/>
  <c r="U402" i="6"/>
  <c r="S402" i="6"/>
  <c r="N402" i="6"/>
  <c r="L402" i="6"/>
  <c r="J402" i="6"/>
  <c r="H402" i="6"/>
  <c r="E402" i="6"/>
  <c r="B402" i="6"/>
  <c r="AB389" i="41"/>
  <c r="B16" i="6"/>
  <c r="B387" i="6"/>
  <c r="B416" i="6"/>
  <c r="B138" i="6"/>
  <c r="B166" i="6"/>
  <c r="B508" i="6"/>
  <c r="B446" i="6"/>
  <c r="B298" i="6"/>
  <c r="B208" i="6"/>
  <c r="B329" i="6"/>
  <c r="B333" i="6"/>
  <c r="B342" i="6"/>
  <c r="W342" i="6"/>
  <c r="V342" i="6"/>
  <c r="U342" i="6"/>
  <c r="S342" i="6"/>
  <c r="N342" i="6"/>
  <c r="L342" i="6"/>
  <c r="J342" i="6"/>
  <c r="H342" i="6"/>
  <c r="E342" i="6"/>
  <c r="AB329" i="41"/>
  <c r="W166" i="6"/>
  <c r="W208" i="6"/>
  <c r="V208" i="6"/>
  <c r="U208" i="6"/>
  <c r="S208" i="6"/>
  <c r="N208" i="6"/>
  <c r="L208" i="6"/>
  <c r="J208" i="6"/>
  <c r="H208" i="6"/>
  <c r="E208" i="6"/>
  <c r="V84" i="6"/>
  <c r="U84" i="6"/>
  <c r="S84" i="6"/>
  <c r="N84" i="6"/>
  <c r="L84" i="6"/>
  <c r="J84" i="6"/>
  <c r="H84" i="6"/>
  <c r="E84" i="6"/>
  <c r="H387" i="6"/>
  <c r="V49" i="6"/>
  <c r="U49" i="6"/>
  <c r="S49" i="6"/>
  <c r="N49" i="6"/>
  <c r="L49" i="6"/>
  <c r="J49" i="6"/>
  <c r="H49" i="6"/>
  <c r="E49" i="6"/>
  <c r="B49" i="6"/>
  <c r="B48" i="6" s="1"/>
  <c r="V360" i="6"/>
  <c r="U360" i="6"/>
  <c r="S360" i="6"/>
  <c r="N360" i="6"/>
  <c r="L360" i="6"/>
  <c r="J360" i="6"/>
  <c r="H360" i="6"/>
  <c r="E360" i="6"/>
  <c r="W333" i="6"/>
  <c r="V333" i="6"/>
  <c r="U333" i="6"/>
  <c r="S333" i="6"/>
  <c r="N333" i="6"/>
  <c r="L333" i="6"/>
  <c r="J333" i="6"/>
  <c r="H333" i="6"/>
  <c r="E333" i="6"/>
  <c r="V387" i="6"/>
  <c r="U387" i="6"/>
  <c r="S387" i="6"/>
  <c r="N387" i="6"/>
  <c r="L387" i="6"/>
  <c r="J387" i="6"/>
  <c r="E387" i="6"/>
  <c r="E16" i="6"/>
  <c r="E166" i="6"/>
  <c r="E298" i="6"/>
  <c r="E446" i="6"/>
  <c r="E329" i="6"/>
  <c r="E508" i="6"/>
  <c r="E172" i="6"/>
  <c r="E416" i="6"/>
  <c r="V166" i="6"/>
  <c r="U166" i="6"/>
  <c r="S166" i="6"/>
  <c r="N166" i="6"/>
  <c r="L166" i="6"/>
  <c r="J166" i="6"/>
  <c r="H166" i="6"/>
  <c r="E138" i="6"/>
  <c r="H298" i="6"/>
  <c r="W298" i="6"/>
  <c r="V298" i="6"/>
  <c r="U298" i="6"/>
  <c r="S298" i="6"/>
  <c r="N298" i="6"/>
  <c r="L298" i="6"/>
  <c r="J298" i="6"/>
  <c r="W329" i="6"/>
  <c r="V329" i="6"/>
  <c r="U329" i="6"/>
  <c r="S329" i="6"/>
  <c r="N329" i="6"/>
  <c r="L329" i="6"/>
  <c r="J329" i="6"/>
  <c r="H329" i="6"/>
  <c r="S446" i="6"/>
  <c r="H138" i="6"/>
  <c r="J138" i="6"/>
  <c r="L138" i="6"/>
  <c r="N138" i="6"/>
  <c r="S138" i="6"/>
  <c r="U138" i="6"/>
  <c r="V138" i="6"/>
  <c r="H508" i="6"/>
  <c r="J508" i="6"/>
  <c r="L508" i="6"/>
  <c r="N508" i="6"/>
  <c r="S508" i="6"/>
  <c r="U508" i="6"/>
  <c r="V508" i="6"/>
  <c r="J172" i="6"/>
  <c r="L172" i="6"/>
  <c r="N172" i="6"/>
  <c r="S172" i="6"/>
  <c r="U172" i="6"/>
  <c r="V172" i="6"/>
  <c r="W446" i="6"/>
  <c r="H416" i="6"/>
  <c r="J416" i="6"/>
  <c r="L416" i="6"/>
  <c r="N416" i="6"/>
  <c r="S416" i="6"/>
  <c r="U416" i="6"/>
  <c r="V416" i="6"/>
  <c r="H446" i="6"/>
  <c r="J446" i="6"/>
  <c r="L446" i="6"/>
  <c r="N446" i="6"/>
  <c r="U446" i="6"/>
  <c r="V446" i="6"/>
  <c r="W508" i="6"/>
  <c r="W416" i="6"/>
  <c r="AB316" i="41"/>
  <c r="G45" i="8"/>
  <c r="AB153" i="41"/>
  <c r="K42" i="8"/>
  <c r="C24" i="8"/>
  <c r="AB195" i="41"/>
  <c r="C44" i="8"/>
  <c r="G27" i="8"/>
  <c r="G28" i="8"/>
  <c r="AB374" i="41"/>
  <c r="C41" i="8"/>
  <c r="AB36" i="41"/>
  <c r="G41" i="8"/>
  <c r="G32" i="8"/>
  <c r="AB320" i="41"/>
  <c r="K24" i="8" s="1"/>
  <c r="AB226" i="41"/>
  <c r="K29" i="8"/>
  <c r="AB373" i="41"/>
  <c r="AB402" i="41"/>
  <c r="AB403" i="41"/>
  <c r="AB158" i="41"/>
  <c r="AB494" i="41"/>
  <c r="AB495" i="41"/>
  <c r="AB35" i="41"/>
  <c r="AB523" i="41"/>
  <c r="AB315" i="41"/>
  <c r="AB432" i="41"/>
  <c r="AB433" i="41"/>
  <c r="AB2" i="41"/>
  <c r="AB253" i="41"/>
  <c r="AB188" i="41"/>
  <c r="AB284" i="41"/>
  <c r="AB285" i="41"/>
  <c r="AB125" i="41"/>
  <c r="K45" i="8"/>
  <c r="K44" i="8"/>
  <c r="K49" i="8"/>
  <c r="K25" i="8"/>
  <c r="K43" i="8"/>
  <c r="C26" i="8"/>
  <c r="C32" i="8"/>
  <c r="G8" i="8"/>
  <c r="C8" i="8"/>
  <c r="C43" i="8"/>
  <c r="K26" i="8"/>
  <c r="K12" i="8"/>
  <c r="K9" i="8"/>
  <c r="C23" i="8"/>
  <c r="K7" i="8"/>
  <c r="C7" i="8"/>
  <c r="K8" i="8"/>
  <c r="K10" i="8"/>
  <c r="C45" i="8"/>
  <c r="K28" i="8"/>
  <c r="K6" i="8"/>
  <c r="K23" i="8"/>
  <c r="C40" i="8"/>
  <c r="G23" i="8"/>
  <c r="G24" i="8"/>
  <c r="G7" i="8"/>
  <c r="G15" i="8"/>
  <c r="C31" i="8"/>
  <c r="C27" i="8"/>
  <c r="G26" i="8"/>
  <c r="C48" i="8"/>
  <c r="W314" i="6"/>
  <c r="C5" i="8" l="1"/>
  <c r="D5" i="8" s="1"/>
  <c r="K32" i="8"/>
  <c r="C25" i="8"/>
  <c r="G49" i="8"/>
  <c r="H49" i="8" s="1"/>
  <c r="K31" i="8"/>
  <c r="L31" i="8" s="1"/>
  <c r="K48" i="8"/>
  <c r="L48" i="8" s="1"/>
  <c r="B171" i="6"/>
  <c r="K47" i="8"/>
  <c r="L47" i="8" s="1"/>
  <c r="K13" i="8"/>
  <c r="L13" i="8" s="1"/>
  <c r="B297" i="6"/>
  <c r="B137" i="6"/>
  <c r="B201" i="6"/>
  <c r="B328" i="6"/>
  <c r="B266" i="6"/>
  <c r="K15" i="8"/>
  <c r="L15" i="8" s="1"/>
  <c r="G31" i="8"/>
  <c r="H31" i="8" s="1"/>
  <c r="G5" i="8"/>
  <c r="H5" i="8" s="1"/>
  <c r="G47" i="8"/>
  <c r="H47" i="8" s="1"/>
  <c r="G48" i="8"/>
  <c r="H48" i="8" s="1"/>
  <c r="G30" i="8"/>
  <c r="H30" i="8" s="1"/>
  <c r="C47" i="8"/>
  <c r="D47" i="8" s="1"/>
  <c r="C13" i="8"/>
  <c r="D13" i="8" s="1"/>
  <c r="K30" i="8"/>
  <c r="L30" i="8" s="1"/>
  <c r="G13" i="8"/>
  <c r="H13" i="8" s="1"/>
  <c r="B415" i="6"/>
  <c r="C39" i="8"/>
  <c r="D39" i="8" s="1"/>
  <c r="G39" i="8"/>
  <c r="H39" i="8" s="1"/>
  <c r="B15" i="6"/>
  <c r="B83" i="6"/>
  <c r="O26" i="21"/>
  <c r="K27" i="21"/>
  <c r="S27" i="21"/>
  <c r="O25" i="21"/>
  <c r="K26" i="21"/>
  <c r="S26" i="21"/>
  <c r="S28" i="21"/>
  <c r="W5" i="21"/>
  <c r="K20" i="21"/>
  <c r="W13" i="21"/>
  <c r="G20" i="21"/>
  <c r="G29" i="21" s="1"/>
  <c r="O20" i="21"/>
  <c r="G6" i="21"/>
  <c r="G5" i="21"/>
  <c r="S20" i="21"/>
  <c r="K27" i="8"/>
  <c r="L27" i="8" s="1"/>
  <c r="G25" i="8"/>
  <c r="H25" i="8" s="1"/>
  <c r="G22" i="8"/>
  <c r="H22" i="8" s="1"/>
  <c r="D31" i="8"/>
  <c r="H24" i="8"/>
  <c r="D25" i="8"/>
  <c r="L8" i="8"/>
  <c r="K22" i="8"/>
  <c r="L22" i="8" s="1"/>
  <c r="K41" i="8"/>
  <c r="L41" i="8" s="1"/>
  <c r="C22" i="8"/>
  <c r="D22" i="8" s="1"/>
  <c r="K5" i="8"/>
  <c r="L5" i="8" s="1"/>
  <c r="C30" i="8"/>
  <c r="D30" i="8" s="1"/>
  <c r="B110" i="6"/>
  <c r="H26" i="8"/>
  <c r="L23" i="8"/>
  <c r="D48" i="8"/>
  <c r="D40" i="8"/>
  <c r="L6" i="8"/>
  <c r="D23" i="8"/>
  <c r="L26" i="8"/>
  <c r="B507" i="6"/>
  <c r="D43" i="8"/>
  <c r="K39" i="8"/>
  <c r="L39" i="8" s="1"/>
  <c r="C42" i="8"/>
  <c r="D42" i="8" s="1"/>
  <c r="B445" i="6"/>
  <c r="C29" i="8"/>
  <c r="D29" i="8" s="1"/>
  <c r="G6" i="8"/>
  <c r="H6" i="8" s="1"/>
  <c r="L40" i="8"/>
  <c r="G46" i="8"/>
  <c r="H46" i="8" s="1"/>
  <c r="G11" i="8"/>
  <c r="H11" i="8" s="1"/>
  <c r="C11" i="8"/>
  <c r="D11" i="8" s="1"/>
  <c r="G12" i="8"/>
  <c r="H12" i="8" s="1"/>
  <c r="K11" i="8"/>
  <c r="L11" i="8" s="1"/>
  <c r="C46" i="8"/>
  <c r="D46" i="8" s="1"/>
  <c r="L9" i="8"/>
  <c r="D26" i="8"/>
  <c r="H29" i="8"/>
  <c r="L44" i="8"/>
  <c r="D27" i="8"/>
  <c r="L10" i="8"/>
  <c r="D32" i="8"/>
  <c r="L49" i="8"/>
  <c r="D49" i="8"/>
  <c r="L7" i="8"/>
  <c r="L29" i="8"/>
  <c r="H27" i="8"/>
  <c r="L25" i="8"/>
  <c r="L42" i="8"/>
  <c r="L28" i="8"/>
  <c r="D44" i="8"/>
  <c r="H32" i="8"/>
  <c r="D28" i="8"/>
  <c r="C14" i="8"/>
  <c r="G9" i="8"/>
  <c r="H9" i="8" s="1"/>
  <c r="G14" i="8"/>
  <c r="H14" i="8" s="1"/>
  <c r="H8" i="8"/>
  <c r="C12" i="8"/>
  <c r="D12" i="8" s="1"/>
  <c r="C15" i="8"/>
  <c r="D15" i="8" s="1"/>
  <c r="D7" i="8"/>
  <c r="C10" i="8"/>
  <c r="C9" i="8"/>
  <c r="H40" i="8"/>
  <c r="H42" i="8"/>
  <c r="H41" i="8"/>
  <c r="H44" i="8"/>
  <c r="B386" i="6"/>
  <c r="L46" i="8"/>
  <c r="H28" i="8"/>
  <c r="D6" i="8"/>
  <c r="L43" i="8"/>
  <c r="D8" i="8"/>
  <c r="L24" i="8"/>
  <c r="H43" i="8"/>
  <c r="L32" i="8"/>
  <c r="L12" i="8"/>
  <c r="D45" i="8"/>
  <c r="H7" i="8"/>
  <c r="H15" i="8"/>
  <c r="H23" i="8"/>
  <c r="H45" i="8"/>
  <c r="L14" i="8"/>
  <c r="L45" i="8"/>
  <c r="D24" i="8"/>
  <c r="D41" i="8"/>
  <c r="H10" i="8"/>
  <c r="B14" i="6" l="1"/>
  <c r="O29" i="21"/>
  <c r="K29" i="21"/>
  <c r="S29" i="21"/>
  <c r="W14" i="21"/>
  <c r="G14" i="21"/>
  <c r="D14" i="8"/>
  <c r="D9" i="8"/>
  <c r="D10" i="8"/>
  <c r="B9" i="40"/>
  <c r="B12" i="40" l="1"/>
  <c r="B10" i="40"/>
  <c r="B8" i="40"/>
  <c r="B11" i="40"/>
  <c r="B4" i="40"/>
  <c r="W53" i="6" l="1"/>
  <c r="W111" i="6"/>
  <c r="W370" i="6"/>
  <c r="O6" i="21" l="1"/>
  <c r="O8" i="21"/>
  <c r="O10" i="21"/>
  <c r="O5" i="21"/>
  <c r="O7" i="21"/>
  <c r="O9" i="21"/>
  <c r="O11" i="21"/>
  <c r="O13" i="21"/>
  <c r="O12" i="21"/>
  <c r="O14" i="21" l="1"/>
  <c r="B5" i="39"/>
  <c r="C9" i="21"/>
  <c r="C24" i="21"/>
  <c r="C11" i="21"/>
  <c r="B7" i="39"/>
  <c r="C26" i="21"/>
  <c r="B21" i="21"/>
  <c r="A2" i="39"/>
  <c r="B6" i="21"/>
  <c r="A4" i="39"/>
  <c r="B8" i="21"/>
  <c r="B23" i="21"/>
  <c r="B25" i="21"/>
  <c r="A6" i="39"/>
  <c r="B10" i="21"/>
  <c r="A8" i="39"/>
  <c r="B12" i="21"/>
  <c r="B27" i="21"/>
  <c r="C23" i="21"/>
  <c r="C8" i="21"/>
  <c r="B4" i="39"/>
  <c r="C12" i="21"/>
  <c r="C27" i="21"/>
  <c r="B8" i="39"/>
  <c r="C20" i="21"/>
  <c r="B1" i="39"/>
  <c r="C5" i="21"/>
  <c r="B2" i="39"/>
  <c r="C21" i="21"/>
  <c r="C6" i="21"/>
  <c r="B6" i="39"/>
  <c r="C10" i="21"/>
  <c r="C25" i="21"/>
  <c r="B20" i="21"/>
  <c r="A1" i="39"/>
  <c r="B5" i="21"/>
  <c r="A3" i="39"/>
  <c r="B7" i="21"/>
  <c r="B22" i="21"/>
  <c r="A5" i="39"/>
  <c r="B9" i="21"/>
  <c r="B24" i="21"/>
  <c r="A7" i="39"/>
  <c r="B26" i="21"/>
  <c r="B11" i="21"/>
  <c r="A9" i="39"/>
  <c r="B13" i="21"/>
  <c r="B28" i="21"/>
  <c r="C7" i="21"/>
  <c r="B3" i="39"/>
  <c r="C22" i="21"/>
  <c r="B9" i="39"/>
  <c r="C13" i="21"/>
  <c r="C28" i="21"/>
  <c r="C21" i="39" l="1"/>
  <c r="C20" i="39"/>
  <c r="C36" i="39"/>
  <c r="C37" i="39"/>
  <c r="E37" i="39"/>
  <c r="E21" i="39"/>
  <c r="E20" i="39"/>
  <c r="E36" i="39"/>
  <c r="D36" i="39"/>
  <c r="D20" i="39"/>
  <c r="D21" i="39"/>
  <c r="D37" i="39"/>
  <c r="E14" i="39"/>
  <c r="E15" i="39"/>
  <c r="D14" i="39"/>
  <c r="D15" i="39"/>
  <c r="C14" i="39"/>
  <c r="C15" i="39"/>
  <c r="E25" i="39"/>
  <c r="E24" i="39"/>
  <c r="D25" i="39"/>
  <c r="D24" i="39"/>
  <c r="C24" i="39"/>
  <c r="C25" i="39"/>
  <c r="C27" i="39"/>
  <c r="C26" i="39"/>
  <c r="E26" i="39"/>
  <c r="E27" i="39"/>
  <c r="D26" i="39"/>
  <c r="D27" i="39"/>
  <c r="B6" i="40"/>
  <c r="C32" i="39"/>
  <c r="C34" i="39"/>
  <c r="C33" i="39"/>
  <c r="C35" i="39"/>
  <c r="E33" i="39"/>
  <c r="E35" i="39"/>
  <c r="E32" i="39"/>
  <c r="E34" i="39"/>
  <c r="D32" i="39"/>
  <c r="D34" i="39"/>
  <c r="D33" i="39"/>
  <c r="D35" i="39"/>
  <c r="D39" i="39"/>
  <c r="D13" i="39"/>
  <c r="D22" i="39"/>
  <c r="D29" i="39"/>
  <c r="D38" i="39"/>
  <c r="D12" i="39"/>
  <c r="D28" i="39"/>
  <c r="D47" i="39"/>
  <c r="D19" i="39"/>
  <c r="D46" i="39"/>
  <c r="D23" i="39"/>
  <c r="D42" i="39"/>
  <c r="D30" i="39"/>
  <c r="D44" i="39"/>
  <c r="D17" i="39"/>
  <c r="D31" i="39"/>
  <c r="D16" i="39"/>
  <c r="D40" i="39"/>
  <c r="D41" i="39"/>
  <c r="D43" i="39"/>
  <c r="D45" i="39"/>
  <c r="D18" i="39"/>
  <c r="C18" i="39"/>
  <c r="C39" i="39"/>
  <c r="C23" i="39"/>
  <c r="C45" i="39"/>
  <c r="C17" i="39"/>
  <c r="C46" i="39"/>
  <c r="C29" i="39"/>
  <c r="C16" i="39"/>
  <c r="C40" i="39"/>
  <c r="C42" i="39"/>
  <c r="C38" i="39"/>
  <c r="C30" i="39"/>
  <c r="C31" i="39"/>
  <c r="C47" i="39"/>
  <c r="C41" i="39"/>
  <c r="C44" i="39"/>
  <c r="C43" i="39"/>
  <c r="C12" i="39"/>
  <c r="C19" i="39"/>
  <c r="C13" i="39"/>
  <c r="C22" i="39"/>
  <c r="C28" i="39"/>
  <c r="E41" i="39"/>
  <c r="E42" i="39"/>
  <c r="E18" i="39"/>
  <c r="E30" i="39"/>
  <c r="E13" i="39"/>
  <c r="E23" i="39"/>
  <c r="E45" i="39"/>
  <c r="E31" i="39"/>
  <c r="E29" i="39"/>
  <c r="E39" i="39"/>
  <c r="E46" i="39"/>
  <c r="E43" i="39"/>
  <c r="E40" i="39"/>
  <c r="E22" i="39"/>
  <c r="E16" i="39"/>
  <c r="E19" i="39"/>
  <c r="E17" i="39"/>
  <c r="E47" i="39"/>
  <c r="E44" i="39"/>
  <c r="E38" i="39"/>
  <c r="E28" i="39"/>
  <c r="E12" i="39"/>
  <c r="K5" i="21"/>
  <c r="K6" i="21"/>
  <c r="K7" i="21"/>
  <c r="K8" i="21"/>
  <c r="K9" i="21"/>
  <c r="K10" i="21"/>
  <c r="K11" i="21"/>
  <c r="K12" i="21"/>
  <c r="K13" i="21"/>
  <c r="B19" i="39" l="1"/>
  <c r="Q6" i="6" s="1"/>
  <c r="Q194" i="6" s="1"/>
  <c r="B33" i="39"/>
  <c r="W4" i="6" s="1"/>
  <c r="B41" i="39"/>
  <c r="W8" i="6" s="1"/>
  <c r="Q158" i="6" s="1"/>
  <c r="B27" i="39"/>
  <c r="Q10" i="6" s="1"/>
  <c r="B42" i="39"/>
  <c r="V9" i="6" s="1"/>
  <c r="B28" i="39"/>
  <c r="P11" i="6" s="1"/>
  <c r="B12" i="39"/>
  <c r="P3" i="6" s="1"/>
  <c r="B34" i="39"/>
  <c r="V5" i="6" s="1"/>
  <c r="B31" i="39"/>
  <c r="W3" i="6" s="1"/>
  <c r="Q366" i="6" s="1"/>
  <c r="B32" i="39"/>
  <c r="V4" i="6" s="1"/>
  <c r="B21" i="39"/>
  <c r="Q7" i="6" s="1"/>
  <c r="B46" i="39"/>
  <c r="V11" i="6" s="1"/>
  <c r="B26" i="39"/>
  <c r="P10" i="6" s="1"/>
  <c r="B20" i="39"/>
  <c r="P7" i="6" s="1"/>
  <c r="B22" i="39"/>
  <c r="P8" i="6" s="1"/>
  <c r="B43" i="39"/>
  <c r="W9" i="6" s="1"/>
  <c r="Q234" i="6" s="1"/>
  <c r="B24" i="39"/>
  <c r="P9" i="6" s="1"/>
  <c r="B38" i="39"/>
  <c r="V7" i="6" s="1"/>
  <c r="B40" i="39"/>
  <c r="V8" i="6" s="1"/>
  <c r="B17" i="39"/>
  <c r="Q5" i="6" s="1"/>
  <c r="Q67" i="6" s="1"/>
  <c r="B37" i="39"/>
  <c r="W6" i="6" s="1"/>
  <c r="B25" i="39"/>
  <c r="Q9" i="6" s="1"/>
  <c r="B13" i="39"/>
  <c r="Q3" i="6" s="1"/>
  <c r="B44" i="39"/>
  <c r="V10" i="6" s="1"/>
  <c r="B15" i="39"/>
  <c r="Q4" i="6" s="1"/>
  <c r="Q407" i="6" s="1"/>
  <c r="B30" i="39"/>
  <c r="V3" i="6" s="1"/>
  <c r="B14" i="39"/>
  <c r="P4" i="6" s="1"/>
  <c r="B16" i="39"/>
  <c r="P5" i="6" s="1"/>
  <c r="B45" i="39"/>
  <c r="W10" i="6" s="1"/>
  <c r="B39" i="39"/>
  <c r="W7" i="6" s="1"/>
  <c r="B35" i="39"/>
  <c r="W5" i="6" s="1"/>
  <c r="K14" i="21"/>
  <c r="B47" i="39"/>
  <c r="W11" i="6" s="1"/>
  <c r="Q326" i="6" s="1"/>
  <c r="B29" i="39"/>
  <c r="Q11" i="6" s="1"/>
  <c r="Q263" i="6" s="1"/>
  <c r="B23" i="39"/>
  <c r="Q8" i="6" s="1"/>
  <c r="Q104" i="6" s="1"/>
  <c r="B18" i="39"/>
  <c r="P6" i="6" s="1"/>
  <c r="B36" i="39"/>
  <c r="V6" i="6" s="1"/>
  <c r="S6" i="21"/>
  <c r="S5" i="21"/>
  <c r="Q556" i="6" l="1"/>
  <c r="Q566" i="6"/>
  <c r="P566" i="6"/>
  <c r="O566" i="6"/>
  <c r="Q500" i="6"/>
  <c r="Q488" i="6"/>
  <c r="P488" i="6"/>
  <c r="O488" i="6"/>
  <c r="Q464" i="6"/>
  <c r="Q461" i="6"/>
  <c r="Q437" i="6"/>
  <c r="Q438" i="6"/>
  <c r="P461" i="6"/>
  <c r="O461" i="6"/>
  <c r="P438" i="6"/>
  <c r="O437" i="6"/>
  <c r="O438" i="6"/>
  <c r="P437" i="6"/>
  <c r="P407" i="6"/>
  <c r="O407" i="6"/>
  <c r="P408" i="6"/>
  <c r="O408" i="6"/>
  <c r="Q397" i="6"/>
  <c r="Q408" i="6"/>
  <c r="P290" i="6"/>
  <c r="O290" i="6"/>
  <c r="Q284" i="6"/>
  <c r="Q290" i="6"/>
  <c r="P284" i="6"/>
  <c r="O284" i="6"/>
  <c r="P263" i="6"/>
  <c r="O263" i="6"/>
  <c r="Q45" i="6"/>
  <c r="P45" i="6"/>
  <c r="O45" i="6"/>
  <c r="Q419" i="6"/>
  <c r="Q418" i="6"/>
  <c r="Q417" i="6"/>
  <c r="P418" i="6"/>
  <c r="O417" i="6"/>
  <c r="P419" i="6"/>
  <c r="O418" i="6"/>
  <c r="P417" i="6"/>
  <c r="O419" i="6"/>
  <c r="Q429" i="6"/>
  <c r="P234" i="6"/>
  <c r="O234" i="6"/>
  <c r="P194" i="6"/>
  <c r="O194" i="6"/>
  <c r="P104" i="6"/>
  <c r="O104" i="6"/>
  <c r="Q24" i="6"/>
  <c r="Q28" i="6"/>
  <c r="P28" i="6"/>
  <c r="O28" i="6"/>
  <c r="P348" i="6"/>
  <c r="O348" i="6"/>
  <c r="Q357" i="6"/>
  <c r="Q348" i="6"/>
  <c r="P158" i="6"/>
  <c r="O158" i="6"/>
  <c r="P366" i="6"/>
  <c r="O366" i="6"/>
  <c r="P150" i="6"/>
  <c r="O149" i="6"/>
  <c r="P146" i="6"/>
  <c r="P151" i="6"/>
  <c r="O150" i="6"/>
  <c r="W150" i="6" s="1"/>
  <c r="P147" i="6"/>
  <c r="O146" i="6"/>
  <c r="O151" i="6"/>
  <c r="P148" i="6"/>
  <c r="O147" i="6"/>
  <c r="P149" i="6"/>
  <c r="O148" i="6"/>
  <c r="P152" i="6"/>
  <c r="O152" i="6"/>
  <c r="Q151" i="6"/>
  <c r="Q147" i="6"/>
  <c r="Q152" i="6"/>
  <c r="Q148" i="6"/>
  <c r="Q149" i="6"/>
  <c r="Q150" i="6"/>
  <c r="Q146" i="6"/>
  <c r="Q164" i="6"/>
  <c r="P326" i="6"/>
  <c r="O326" i="6"/>
  <c r="P397" i="6"/>
  <c r="O397" i="6"/>
  <c r="P464" i="6"/>
  <c r="O464" i="6"/>
  <c r="P556" i="6"/>
  <c r="O556" i="6"/>
  <c r="Q567" i="6"/>
  <c r="Q563" i="6"/>
  <c r="P563" i="6"/>
  <c r="O563" i="6"/>
  <c r="P500" i="6"/>
  <c r="O500" i="6"/>
  <c r="Q499" i="6"/>
  <c r="Q486" i="6"/>
  <c r="P486" i="6"/>
  <c r="O486" i="6"/>
  <c r="P357" i="6"/>
  <c r="O357" i="6"/>
  <c r="P199" i="6"/>
  <c r="O199" i="6"/>
  <c r="Q175" i="6"/>
  <c r="Q199" i="6"/>
  <c r="P108" i="6"/>
  <c r="O108" i="6"/>
  <c r="Q94" i="6"/>
  <c r="Q108" i="6"/>
  <c r="P67" i="6"/>
  <c r="O67" i="6"/>
  <c r="P58" i="6"/>
  <c r="O58" i="6"/>
  <c r="Q81" i="6"/>
  <c r="Q58" i="6"/>
  <c r="P24" i="6"/>
  <c r="O24" i="6"/>
  <c r="Q224" i="6"/>
  <c r="Q232" i="6"/>
  <c r="P232" i="6"/>
  <c r="O232" i="6"/>
  <c r="P224" i="6"/>
  <c r="O224" i="6"/>
  <c r="P499" i="6"/>
  <c r="O499" i="6"/>
  <c r="P400" i="6"/>
  <c r="O400" i="6"/>
  <c r="Q389" i="6"/>
  <c r="Q400" i="6"/>
  <c r="P389" i="6"/>
  <c r="O389" i="6"/>
  <c r="P295" i="6"/>
  <c r="O295" i="6"/>
  <c r="Q278" i="6"/>
  <c r="Q295" i="6"/>
  <c r="P278" i="6"/>
  <c r="O278" i="6"/>
  <c r="Q260" i="6"/>
  <c r="Q258" i="6"/>
  <c r="P258" i="6"/>
  <c r="O258" i="6"/>
  <c r="Q227" i="6"/>
  <c r="Q204" i="6"/>
  <c r="P204" i="6"/>
  <c r="O204" i="6"/>
  <c r="P164" i="6"/>
  <c r="O164" i="6"/>
  <c r="P140" i="6"/>
  <c r="O140" i="6"/>
  <c r="Q141" i="6"/>
  <c r="Q140" i="6"/>
  <c r="P141" i="6"/>
  <c r="O141" i="6"/>
  <c r="P123" i="6"/>
  <c r="O123" i="6"/>
  <c r="Q120" i="6"/>
  <c r="Q123" i="6"/>
  <c r="P94" i="6"/>
  <c r="O94" i="6"/>
  <c r="P81" i="6"/>
  <c r="O81" i="6"/>
  <c r="P62" i="6"/>
  <c r="O62" i="6"/>
  <c r="Q62" i="6"/>
  <c r="Q37" i="6"/>
  <c r="Q39" i="6"/>
  <c r="P39" i="6"/>
  <c r="O39" i="6"/>
  <c r="P37" i="6"/>
  <c r="O37" i="6"/>
  <c r="Q35" i="6"/>
  <c r="Q36" i="6"/>
  <c r="P36" i="6"/>
  <c r="O36" i="6"/>
  <c r="P35" i="6"/>
  <c r="O35" i="6"/>
  <c r="Q17" i="6"/>
  <c r="Q19" i="6"/>
  <c r="P19" i="6"/>
  <c r="O19" i="6"/>
  <c r="P162" i="6"/>
  <c r="O162" i="6"/>
  <c r="Q168" i="6"/>
  <c r="Q162" i="6"/>
  <c r="P356" i="6"/>
  <c r="O356" i="6"/>
  <c r="Q341" i="6"/>
  <c r="Q356" i="6"/>
  <c r="Q489" i="6"/>
  <c r="Q498" i="6"/>
  <c r="P498" i="6"/>
  <c r="O498" i="6"/>
  <c r="P293" i="6"/>
  <c r="O293" i="6"/>
  <c r="Q270" i="6"/>
  <c r="Q293" i="6"/>
  <c r="P567" i="6"/>
  <c r="O567" i="6"/>
  <c r="P414" i="6"/>
  <c r="O413" i="6"/>
  <c r="O412" i="6"/>
  <c r="O414" i="6"/>
  <c r="P412" i="6"/>
  <c r="P413" i="6"/>
  <c r="Q414" i="6"/>
  <c r="Q412" i="6"/>
  <c r="Q413" i="6"/>
  <c r="Q391" i="6"/>
  <c r="P391" i="6"/>
  <c r="O391" i="6"/>
  <c r="Q376" i="6"/>
  <c r="P376" i="6"/>
  <c r="O376" i="6"/>
  <c r="P373" i="6"/>
  <c r="O373" i="6"/>
  <c r="Q379" i="6"/>
  <c r="Q373" i="6"/>
  <c r="P260" i="6"/>
  <c r="O260" i="6"/>
  <c r="P227" i="6"/>
  <c r="O227" i="6"/>
  <c r="Q214" i="6"/>
  <c r="Q213" i="6"/>
  <c r="P213" i="6"/>
  <c r="O213" i="6"/>
  <c r="P214" i="6"/>
  <c r="O214" i="6"/>
  <c r="P205" i="6"/>
  <c r="O205" i="6"/>
  <c r="Q206" i="6"/>
  <c r="Q205" i="6"/>
  <c r="P120" i="6"/>
  <c r="O120" i="6"/>
  <c r="P76" i="6"/>
  <c r="O76" i="6"/>
  <c r="Q57" i="6"/>
  <c r="Q76" i="6"/>
  <c r="P57" i="6"/>
  <c r="O57" i="6"/>
  <c r="P341" i="6"/>
  <c r="O341" i="6"/>
  <c r="P379" i="6"/>
  <c r="O379" i="6"/>
  <c r="P206" i="6"/>
  <c r="O206" i="6"/>
  <c r="P88" i="6"/>
  <c r="O88" i="6"/>
  <c r="Q95" i="6"/>
  <c r="Q88" i="6"/>
  <c r="Q236" i="6"/>
  <c r="Q230" i="6"/>
  <c r="P230" i="6"/>
  <c r="O230" i="6"/>
  <c r="P489" i="6"/>
  <c r="O489" i="6"/>
  <c r="P270" i="6"/>
  <c r="O270" i="6"/>
  <c r="P17" i="6"/>
  <c r="O17" i="6"/>
  <c r="P282" i="6"/>
  <c r="O282" i="6"/>
  <c r="Q288" i="6"/>
  <c r="Q282" i="6"/>
  <c r="P288" i="6"/>
  <c r="O288" i="6"/>
  <c r="P168" i="6"/>
  <c r="O168" i="6"/>
  <c r="P350" i="6"/>
  <c r="O350" i="6"/>
  <c r="Q340" i="6"/>
  <c r="Q350" i="6"/>
  <c r="P429" i="6"/>
  <c r="O429" i="6"/>
  <c r="P285" i="6"/>
  <c r="O285" i="6"/>
  <c r="Q287" i="6"/>
  <c r="Q285" i="6"/>
  <c r="P236" i="6"/>
  <c r="O236" i="6"/>
  <c r="Q31" i="6"/>
  <c r="Q38" i="6"/>
  <c r="P38" i="6"/>
  <c r="O38" i="6"/>
  <c r="P175" i="6"/>
  <c r="O175" i="6"/>
  <c r="Q561" i="6"/>
  <c r="Q558" i="6"/>
  <c r="P558" i="6"/>
  <c r="O558" i="6"/>
  <c r="P184" i="6"/>
  <c r="O184" i="6"/>
  <c r="Q173" i="6"/>
  <c r="Q184" i="6"/>
  <c r="P561" i="6"/>
  <c r="O561" i="6"/>
  <c r="P133" i="6"/>
  <c r="O133" i="6"/>
  <c r="Q118" i="6"/>
  <c r="Q133" i="6"/>
  <c r="Q247" i="6"/>
  <c r="Q252" i="6"/>
  <c r="P252" i="6"/>
  <c r="O252" i="6"/>
  <c r="P118" i="6"/>
  <c r="O118" i="6"/>
  <c r="Q424" i="6"/>
  <c r="Q431" i="6"/>
  <c r="P431" i="6"/>
  <c r="O431" i="6"/>
  <c r="P424" i="6"/>
  <c r="O424" i="6"/>
  <c r="P340" i="6"/>
  <c r="O340" i="6"/>
  <c r="P169" i="6"/>
  <c r="O169" i="6"/>
  <c r="Q163" i="6"/>
  <c r="Q169" i="6"/>
  <c r="P163" i="6"/>
  <c r="O163" i="6"/>
  <c r="P173" i="6"/>
  <c r="O173" i="6"/>
  <c r="Q442" i="6"/>
  <c r="P442" i="6"/>
  <c r="O442" i="6"/>
  <c r="Q421" i="6"/>
  <c r="Q428" i="6"/>
  <c r="P428" i="6"/>
  <c r="O428" i="6"/>
  <c r="P421" i="6"/>
  <c r="O421" i="6"/>
  <c r="P287" i="6"/>
  <c r="O287" i="6"/>
  <c r="O73" i="6"/>
  <c r="P73" i="6"/>
  <c r="Q77" i="6"/>
  <c r="Q73" i="6"/>
  <c r="P31" i="6"/>
  <c r="O31" i="6"/>
  <c r="Q41" i="6"/>
  <c r="Q18" i="6"/>
  <c r="P18" i="6"/>
  <c r="O18" i="6"/>
  <c r="Q439" i="6"/>
  <c r="Q435" i="6"/>
  <c r="Q436" i="6"/>
  <c r="Q433" i="6"/>
  <c r="Q434" i="6"/>
  <c r="O436" i="6"/>
  <c r="P434" i="6"/>
  <c r="O433" i="6"/>
  <c r="P439" i="6"/>
  <c r="P435" i="6"/>
  <c r="O434" i="6"/>
  <c r="O439" i="6"/>
  <c r="O435" i="6"/>
  <c r="P436" i="6"/>
  <c r="P433" i="6"/>
  <c r="Q430" i="6"/>
  <c r="Q425" i="6"/>
  <c r="Q426" i="6"/>
  <c r="Q422" i="6"/>
  <c r="Q427" i="6"/>
  <c r="Q423" i="6"/>
  <c r="P427" i="6"/>
  <c r="O426" i="6"/>
  <c r="P423" i="6"/>
  <c r="O422" i="6"/>
  <c r="P430" i="6"/>
  <c r="O427" i="6"/>
  <c r="P425" i="6"/>
  <c r="O423" i="6"/>
  <c r="O430" i="6"/>
  <c r="O425" i="6"/>
  <c r="P426" i="6"/>
  <c r="P422" i="6"/>
  <c r="P247" i="6"/>
  <c r="O247" i="6"/>
  <c r="P95" i="6"/>
  <c r="O95" i="6"/>
  <c r="P41" i="6"/>
  <c r="O41" i="6"/>
  <c r="Q564" i="6"/>
  <c r="Q562" i="6"/>
  <c r="Q565" i="6"/>
  <c r="O565" i="6"/>
  <c r="O562" i="6"/>
  <c r="P564" i="6"/>
  <c r="O564" i="6"/>
  <c r="P562" i="6"/>
  <c r="P565" i="6"/>
  <c r="Q559" i="6"/>
  <c r="Q553" i="6"/>
  <c r="Q554" i="6"/>
  <c r="Q555" i="6"/>
  <c r="Q551" i="6"/>
  <c r="Q557" i="6"/>
  <c r="Q552" i="6"/>
  <c r="P557" i="6"/>
  <c r="O555" i="6"/>
  <c r="P552" i="6"/>
  <c r="O551" i="6"/>
  <c r="P559" i="6"/>
  <c r="O557" i="6"/>
  <c r="P553" i="6"/>
  <c r="O552" i="6"/>
  <c r="P551" i="6"/>
  <c r="O559" i="6"/>
  <c r="P554" i="6"/>
  <c r="O553" i="6"/>
  <c r="P555" i="6"/>
  <c r="O554" i="6"/>
  <c r="P549" i="6"/>
  <c r="O548" i="6"/>
  <c r="P545" i="6"/>
  <c r="P542" i="6"/>
  <c r="O549" i="6"/>
  <c r="P546" i="6"/>
  <c r="O545" i="6"/>
  <c r="P543" i="6"/>
  <c r="O542" i="6"/>
  <c r="P547" i="6"/>
  <c r="O546" i="6"/>
  <c r="P544" i="6"/>
  <c r="O543" i="6"/>
  <c r="P548" i="6"/>
  <c r="O547" i="6"/>
  <c r="O544" i="6"/>
  <c r="Q546" i="6"/>
  <c r="Q543" i="6"/>
  <c r="Q547" i="6"/>
  <c r="Q544" i="6"/>
  <c r="Q548" i="6"/>
  <c r="Q549" i="6"/>
  <c r="Q545" i="6"/>
  <c r="Q542" i="6"/>
  <c r="P528" i="6"/>
  <c r="O527" i="6"/>
  <c r="P526" i="6"/>
  <c r="O525" i="6"/>
  <c r="P522" i="6"/>
  <c r="O521" i="6"/>
  <c r="P529" i="6"/>
  <c r="O528" i="6"/>
  <c r="O526" i="6"/>
  <c r="P523" i="6"/>
  <c r="O522" i="6"/>
  <c r="O529" i="6"/>
  <c r="P524" i="6"/>
  <c r="O523" i="6"/>
  <c r="P527" i="6"/>
  <c r="P525" i="6"/>
  <c r="O524" i="6"/>
  <c r="P521" i="6"/>
  <c r="Q529" i="6"/>
  <c r="Q523" i="6"/>
  <c r="Q524" i="6"/>
  <c r="Q527" i="6"/>
  <c r="Q525" i="6"/>
  <c r="Q521" i="6"/>
  <c r="Q528" i="6"/>
  <c r="Q526" i="6"/>
  <c r="Q522" i="6"/>
  <c r="Q519" i="6"/>
  <c r="Q515" i="6"/>
  <c r="Q516" i="6"/>
  <c r="Q517" i="6"/>
  <c r="Q513" i="6"/>
  <c r="Q518" i="6"/>
  <c r="Q514" i="6"/>
  <c r="P518" i="6"/>
  <c r="O517" i="6"/>
  <c r="P514" i="6"/>
  <c r="O513" i="6"/>
  <c r="P519" i="6"/>
  <c r="O518" i="6"/>
  <c r="P515" i="6"/>
  <c r="O514" i="6"/>
  <c r="O519" i="6"/>
  <c r="P516" i="6"/>
  <c r="O515" i="6"/>
  <c r="P517" i="6"/>
  <c r="O516" i="6"/>
  <c r="P513" i="6"/>
  <c r="Q505" i="6"/>
  <c r="Q503" i="6"/>
  <c r="Q506" i="6"/>
  <c r="Q504" i="6"/>
  <c r="P506" i="6"/>
  <c r="P504" i="6"/>
  <c r="O503" i="6"/>
  <c r="O506" i="6"/>
  <c r="P505" i="6"/>
  <c r="O504" i="6"/>
  <c r="O505" i="6"/>
  <c r="P503" i="6"/>
  <c r="Q501" i="6"/>
  <c r="Q493" i="6"/>
  <c r="Q492" i="6"/>
  <c r="Q494" i="6"/>
  <c r="Q497" i="6"/>
  <c r="Q495" i="6"/>
  <c r="Q490" i="6"/>
  <c r="Q496" i="6"/>
  <c r="Q491" i="6"/>
  <c r="O497" i="6"/>
  <c r="P496" i="6"/>
  <c r="O495" i="6"/>
  <c r="P491" i="6"/>
  <c r="O490" i="6"/>
  <c r="P501" i="6"/>
  <c r="O496" i="6"/>
  <c r="P493" i="6"/>
  <c r="O491" i="6"/>
  <c r="O501" i="6"/>
  <c r="P492" i="6"/>
  <c r="P494" i="6"/>
  <c r="O493" i="6"/>
  <c r="P497" i="6"/>
  <c r="O492" i="6"/>
  <c r="P495" i="6"/>
  <c r="O494" i="6"/>
  <c r="P490" i="6"/>
  <c r="Q487" i="6"/>
  <c r="Q482" i="6"/>
  <c r="Q480" i="6"/>
  <c r="Q484" i="6"/>
  <c r="Q483" i="6"/>
  <c r="Q485" i="6"/>
  <c r="Q481" i="6"/>
  <c r="P485" i="6"/>
  <c r="O484" i="6"/>
  <c r="P481" i="6"/>
  <c r="O483" i="6"/>
  <c r="P484" i="6"/>
  <c r="P487" i="6"/>
  <c r="O485" i="6"/>
  <c r="P482" i="6"/>
  <c r="O481" i="6"/>
  <c r="P483" i="6"/>
  <c r="O480" i="6"/>
  <c r="O487" i="6"/>
  <c r="O482" i="6"/>
  <c r="P480" i="6"/>
  <c r="Q472" i="6"/>
  <c r="Q473" i="6"/>
  <c r="Q471" i="6"/>
  <c r="O471" i="6"/>
  <c r="P472" i="6"/>
  <c r="P473" i="6"/>
  <c r="O472" i="6"/>
  <c r="O473" i="6"/>
  <c r="P471" i="6"/>
  <c r="Q469" i="6"/>
  <c r="Q465" i="6"/>
  <c r="Q459" i="6"/>
  <c r="Q455" i="6"/>
  <c r="Q451" i="6"/>
  <c r="Q450" i="6"/>
  <c r="Q466" i="6"/>
  <c r="Q462" i="6"/>
  <c r="Q456" i="6"/>
  <c r="Q452" i="6"/>
  <c r="Q468" i="6"/>
  <c r="Q460" i="6"/>
  <c r="Q467" i="6"/>
  <c r="Q463" i="6"/>
  <c r="Q458" i="6"/>
  <c r="Q453" i="6"/>
  <c r="Q457" i="6"/>
  <c r="Q454" i="6"/>
  <c r="P468" i="6"/>
  <c r="O467" i="6"/>
  <c r="O463" i="6"/>
  <c r="P460" i="6"/>
  <c r="O458" i="6"/>
  <c r="P457" i="6"/>
  <c r="P454" i="6"/>
  <c r="O453" i="6"/>
  <c r="P450" i="6"/>
  <c r="O466" i="6"/>
  <c r="P463" i="6"/>
  <c r="P458" i="6"/>
  <c r="P453" i="6"/>
  <c r="P469" i="6"/>
  <c r="O468" i="6"/>
  <c r="P465" i="6"/>
  <c r="P459" i="6"/>
  <c r="O460" i="6"/>
  <c r="O457" i="6"/>
  <c r="P455" i="6"/>
  <c r="O454" i="6"/>
  <c r="P451" i="6"/>
  <c r="O450" i="6"/>
  <c r="O462" i="6"/>
  <c r="O456" i="6"/>
  <c r="O452" i="6"/>
  <c r="O469" i="6"/>
  <c r="P466" i="6"/>
  <c r="O465" i="6"/>
  <c r="P462" i="6"/>
  <c r="O459" i="6"/>
  <c r="P456" i="6"/>
  <c r="O455" i="6"/>
  <c r="P452" i="6"/>
  <c r="O451" i="6"/>
  <c r="P467" i="6"/>
  <c r="Q443" i="6"/>
  <c r="Q444" i="6"/>
  <c r="Q441" i="6"/>
  <c r="O444" i="6"/>
  <c r="O441" i="6"/>
  <c r="P444" i="6"/>
  <c r="P441" i="6"/>
  <c r="P443" i="6"/>
  <c r="O443" i="6"/>
  <c r="P411" i="6"/>
  <c r="O411" i="6"/>
  <c r="Q411" i="6"/>
  <c r="P409" i="6"/>
  <c r="P405" i="6"/>
  <c r="O404" i="6"/>
  <c r="O409" i="6"/>
  <c r="O405" i="6"/>
  <c r="P406" i="6"/>
  <c r="P403" i="6"/>
  <c r="O406" i="6"/>
  <c r="P404" i="6"/>
  <c r="O403" i="6"/>
  <c r="Q406" i="6"/>
  <c r="Q403" i="6"/>
  <c r="Q404" i="6"/>
  <c r="Q409" i="6"/>
  <c r="Q405" i="6"/>
  <c r="P399" i="6"/>
  <c r="O398" i="6"/>
  <c r="P394" i="6"/>
  <c r="O393" i="6"/>
  <c r="P401" i="6"/>
  <c r="O399" i="6"/>
  <c r="P395" i="6"/>
  <c r="O394" i="6"/>
  <c r="P398" i="6"/>
  <c r="O396" i="6"/>
  <c r="P393" i="6"/>
  <c r="O401" i="6"/>
  <c r="P396" i="6"/>
  <c r="O395" i="6"/>
  <c r="Q401" i="6"/>
  <c r="Q395" i="6"/>
  <c r="Q396" i="6"/>
  <c r="Q399" i="6"/>
  <c r="Q394" i="6"/>
  <c r="Q398" i="6"/>
  <c r="Q393" i="6"/>
  <c r="P377" i="6"/>
  <c r="P371" i="6"/>
  <c r="P378" i="6"/>
  <c r="O377" i="6"/>
  <c r="P374" i="6"/>
  <c r="P372" i="6"/>
  <c r="O371" i="6"/>
  <c r="O378" i="6"/>
  <c r="P375" i="6"/>
  <c r="O374" i="6"/>
  <c r="O372" i="6"/>
  <c r="O375" i="6"/>
  <c r="Q378" i="6"/>
  <c r="Q374" i="6"/>
  <c r="Q372" i="6"/>
  <c r="Q371" i="6"/>
  <c r="Q375" i="6"/>
  <c r="Q377" i="6"/>
  <c r="P369" i="6"/>
  <c r="O368" i="6"/>
  <c r="P365" i="6"/>
  <c r="O364" i="6"/>
  <c r="O369" i="6"/>
  <c r="O365" i="6"/>
  <c r="P367" i="6"/>
  <c r="P368" i="6"/>
  <c r="O367" i="6"/>
  <c r="P364" i="6"/>
  <c r="Q367" i="6"/>
  <c r="Q368" i="6"/>
  <c r="Q364" i="6"/>
  <c r="Q369" i="6"/>
  <c r="Q365" i="6"/>
  <c r="Q330" i="6"/>
  <c r="Q337" i="6"/>
  <c r="Q334" i="6"/>
  <c r="Q336" i="6"/>
  <c r="Q338" i="6"/>
  <c r="Q335" i="6"/>
  <c r="Q339" i="6"/>
  <c r="O339" i="6"/>
  <c r="P336" i="6"/>
  <c r="P339" i="6"/>
  <c r="O338" i="6"/>
  <c r="P337" i="6"/>
  <c r="O336" i="6"/>
  <c r="P334" i="6"/>
  <c r="P338" i="6"/>
  <c r="O337" i="6"/>
  <c r="P335" i="6"/>
  <c r="O334" i="6"/>
  <c r="O335" i="6"/>
  <c r="P323" i="6"/>
  <c r="P324" i="6"/>
  <c r="O323" i="6"/>
  <c r="P325" i="6"/>
  <c r="O324" i="6"/>
  <c r="O327" i="6"/>
  <c r="P327" i="6"/>
  <c r="O325" i="6"/>
  <c r="P330" i="6"/>
  <c r="O330" i="6"/>
  <c r="Q325" i="6"/>
  <c r="Q327" i="6"/>
  <c r="Q323" i="6"/>
  <c r="Q324" i="6"/>
  <c r="P312" i="6"/>
  <c r="O311" i="6"/>
  <c r="P308" i="6"/>
  <c r="O307" i="6"/>
  <c r="P304" i="6"/>
  <c r="O310" i="6"/>
  <c r="P313" i="6"/>
  <c r="O312" i="6"/>
  <c r="P309" i="6"/>
  <c r="O308" i="6"/>
  <c r="P305" i="6"/>
  <c r="O304" i="6"/>
  <c r="P311" i="6"/>
  <c r="P307" i="6"/>
  <c r="O306" i="6"/>
  <c r="O313" i="6"/>
  <c r="P310" i="6"/>
  <c r="O309" i="6"/>
  <c r="P306" i="6"/>
  <c r="O305" i="6"/>
  <c r="Q300" i="6"/>
  <c r="Q313" i="6"/>
  <c r="Q309" i="6"/>
  <c r="Q305" i="6"/>
  <c r="Q308" i="6"/>
  <c r="Q310" i="6"/>
  <c r="Q306" i="6"/>
  <c r="Q312" i="6"/>
  <c r="Q311" i="6"/>
  <c r="Q307" i="6"/>
  <c r="Q304" i="6"/>
  <c r="P300" i="6"/>
  <c r="O300" i="6"/>
  <c r="P279" i="6"/>
  <c r="O277" i="6"/>
  <c r="P274" i="6"/>
  <c r="O273" i="6"/>
  <c r="O279" i="6"/>
  <c r="P275" i="6"/>
  <c r="O274" i="6"/>
  <c r="P276" i="6"/>
  <c r="O275" i="6"/>
  <c r="P272" i="6"/>
  <c r="P277" i="6"/>
  <c r="O276" i="6"/>
  <c r="P273" i="6"/>
  <c r="O272" i="6"/>
  <c r="Q275" i="6"/>
  <c r="Q276" i="6"/>
  <c r="Q272" i="6"/>
  <c r="Q277" i="6"/>
  <c r="Q273" i="6"/>
  <c r="Q279" i="6"/>
  <c r="Q274" i="6"/>
  <c r="Q253" i="6"/>
  <c r="Q254" i="6"/>
  <c r="Q250" i="6"/>
  <c r="Q257" i="6"/>
  <c r="Q255" i="6"/>
  <c r="Q251" i="6"/>
  <c r="Q259" i="6"/>
  <c r="Q256" i="6"/>
  <c r="P259" i="6"/>
  <c r="O257" i="6"/>
  <c r="P256" i="6"/>
  <c r="O255" i="6"/>
  <c r="O251" i="6"/>
  <c r="O259" i="6"/>
  <c r="O256" i="6"/>
  <c r="P253" i="6"/>
  <c r="P254" i="6"/>
  <c r="O253" i="6"/>
  <c r="P250" i="6"/>
  <c r="P257" i="6"/>
  <c r="P255" i="6"/>
  <c r="O254" i="6"/>
  <c r="P251" i="6"/>
  <c r="O250" i="6"/>
  <c r="Q246" i="6"/>
  <c r="Q245" i="6"/>
  <c r="Q244" i="6"/>
  <c r="Q248" i="6"/>
  <c r="Q243" i="6"/>
  <c r="P245" i="6"/>
  <c r="O248" i="6"/>
  <c r="P244" i="6"/>
  <c r="O243" i="6"/>
  <c r="O246" i="6"/>
  <c r="O245" i="6"/>
  <c r="O244" i="6"/>
  <c r="P248" i="6"/>
  <c r="P246" i="6"/>
  <c r="P243" i="6"/>
  <c r="Q233" i="6"/>
  <c r="P233" i="6"/>
  <c r="O233" i="6"/>
  <c r="Q219" i="6"/>
  <c r="Q223" i="6"/>
  <c r="Q225" i="6"/>
  <c r="Q220" i="6"/>
  <c r="Q228" i="6"/>
  <c r="Q226" i="6"/>
  <c r="Q221" i="6"/>
  <c r="Q229" i="6"/>
  <c r="Q222" i="6"/>
  <c r="P229" i="6"/>
  <c r="O228" i="6"/>
  <c r="O226" i="6"/>
  <c r="P222" i="6"/>
  <c r="O221" i="6"/>
  <c r="P219" i="6"/>
  <c r="O229" i="6"/>
  <c r="P223" i="6"/>
  <c r="O222" i="6"/>
  <c r="O225" i="6"/>
  <c r="O219" i="6"/>
  <c r="P225" i="6"/>
  <c r="O223" i="6"/>
  <c r="P220" i="6"/>
  <c r="P228" i="6"/>
  <c r="P226" i="6"/>
  <c r="P221" i="6"/>
  <c r="O220" i="6"/>
  <c r="Q218" i="6"/>
  <c r="Q209" i="6"/>
  <c r="Q215" i="6"/>
  <c r="Q210" i="6"/>
  <c r="Q216" i="6"/>
  <c r="Q211" i="6"/>
  <c r="Q217" i="6"/>
  <c r="Q212" i="6"/>
  <c r="P217" i="6"/>
  <c r="O216" i="6"/>
  <c r="P212" i="6"/>
  <c r="O211" i="6"/>
  <c r="P218" i="6"/>
  <c r="O217" i="6"/>
  <c r="O212" i="6"/>
  <c r="P209" i="6"/>
  <c r="O218" i="6"/>
  <c r="P215" i="6"/>
  <c r="P210" i="6"/>
  <c r="O209" i="6"/>
  <c r="P216" i="6"/>
  <c r="O215" i="6"/>
  <c r="P211" i="6"/>
  <c r="O210" i="6"/>
  <c r="P198" i="6"/>
  <c r="O197" i="6"/>
  <c r="P200" i="6"/>
  <c r="O198" i="6"/>
  <c r="O200" i="6"/>
  <c r="P196" i="6"/>
  <c r="P197" i="6"/>
  <c r="O196" i="6"/>
  <c r="Q200" i="6"/>
  <c r="Q196" i="6"/>
  <c r="Q197" i="6"/>
  <c r="Q198" i="6"/>
  <c r="O193" i="6"/>
  <c r="P188" i="6"/>
  <c r="O190" i="6"/>
  <c r="P187" i="6"/>
  <c r="O189" i="6"/>
  <c r="P191" i="6"/>
  <c r="O188" i="6"/>
  <c r="O187" i="6"/>
  <c r="P190" i="6"/>
  <c r="P192" i="6"/>
  <c r="O191" i="6"/>
  <c r="P189" i="6"/>
  <c r="P193" i="6"/>
  <c r="O192" i="6"/>
  <c r="Q191" i="6"/>
  <c r="Q188" i="6"/>
  <c r="Q192" i="6"/>
  <c r="Q189" i="6"/>
  <c r="Q193" i="6"/>
  <c r="Q190" i="6"/>
  <c r="Q187" i="6"/>
  <c r="O186" i="6"/>
  <c r="P186" i="6"/>
  <c r="Q186" i="6"/>
  <c r="P183" i="6"/>
  <c r="O182" i="6"/>
  <c r="P179" i="6"/>
  <c r="O178" i="6"/>
  <c r="P182" i="6"/>
  <c r="O177" i="6"/>
  <c r="P185" i="6"/>
  <c r="O183" i="6"/>
  <c r="P180" i="6"/>
  <c r="O179" i="6"/>
  <c r="O181" i="6"/>
  <c r="O185" i="6"/>
  <c r="P181" i="6"/>
  <c r="O180" i="6"/>
  <c r="P177" i="6"/>
  <c r="P178" i="6"/>
  <c r="Q185" i="6"/>
  <c r="Q180" i="6"/>
  <c r="Q183" i="6"/>
  <c r="Q181" i="6"/>
  <c r="Q177" i="6"/>
  <c r="Q179" i="6"/>
  <c r="Q182" i="6"/>
  <c r="Q178" i="6"/>
  <c r="O165" i="6"/>
  <c r="P159" i="6"/>
  <c r="O157" i="6"/>
  <c r="P154" i="6"/>
  <c r="O161" i="6"/>
  <c r="O156" i="6"/>
  <c r="P160" i="6"/>
  <c r="O159" i="6"/>
  <c r="P155" i="6"/>
  <c r="O154" i="6"/>
  <c r="P157" i="6"/>
  <c r="P161" i="6"/>
  <c r="O160" i="6"/>
  <c r="P156" i="6"/>
  <c r="O155" i="6"/>
  <c r="P165" i="6"/>
  <c r="Q160" i="6"/>
  <c r="Q155" i="6"/>
  <c r="Q161" i="6"/>
  <c r="Q156" i="6"/>
  <c r="Q159" i="6"/>
  <c r="Q165" i="6"/>
  <c r="Q157" i="6"/>
  <c r="Q154" i="6"/>
  <c r="P145" i="6"/>
  <c r="O144" i="6"/>
  <c r="O145" i="6"/>
  <c r="P144" i="6"/>
  <c r="Q144" i="6"/>
  <c r="Q145" i="6"/>
  <c r="P136" i="6"/>
  <c r="O135" i="6"/>
  <c r="O134" i="6"/>
  <c r="O136" i="6"/>
  <c r="P134" i="6"/>
  <c r="P135" i="6"/>
  <c r="Q134" i="6"/>
  <c r="Q135" i="6"/>
  <c r="Q136" i="6"/>
  <c r="O131" i="6"/>
  <c r="O129" i="6"/>
  <c r="P126" i="6"/>
  <c r="O127" i="6"/>
  <c r="O128" i="6"/>
  <c r="P130" i="6"/>
  <c r="P127" i="6"/>
  <c r="O126" i="6"/>
  <c r="O130" i="6"/>
  <c r="P128" i="6"/>
  <c r="P131" i="6"/>
  <c r="P129" i="6"/>
  <c r="Q130" i="6"/>
  <c r="Q127" i="6"/>
  <c r="Q128" i="6"/>
  <c r="Q131" i="6"/>
  <c r="Q129" i="6"/>
  <c r="Q126" i="6"/>
  <c r="O124" i="6"/>
  <c r="P119" i="6"/>
  <c r="O117" i="6"/>
  <c r="P124" i="6"/>
  <c r="O116" i="6"/>
  <c r="P121" i="6"/>
  <c r="O119" i="6"/>
  <c r="O122" i="6"/>
  <c r="P122" i="6"/>
  <c r="O121" i="6"/>
  <c r="P116" i="6"/>
  <c r="P117" i="6"/>
  <c r="Q113" i="6"/>
  <c r="Q121" i="6"/>
  <c r="Q122" i="6"/>
  <c r="Q116" i="6"/>
  <c r="Q124" i="6"/>
  <c r="Q117" i="6"/>
  <c r="Q119" i="6"/>
  <c r="P113" i="6"/>
  <c r="O113" i="6"/>
  <c r="P109" i="6"/>
  <c r="O107" i="6"/>
  <c r="O109" i="6"/>
  <c r="P107" i="6"/>
  <c r="Q109" i="6"/>
  <c r="Q107" i="6"/>
  <c r="Q105" i="6"/>
  <c r="Q102" i="6"/>
  <c r="Q99" i="6"/>
  <c r="Q103" i="6"/>
  <c r="Q100" i="6"/>
  <c r="Q98" i="6"/>
  <c r="Q101" i="6"/>
  <c r="O101" i="6"/>
  <c r="P98" i="6"/>
  <c r="O100" i="6"/>
  <c r="P105" i="6"/>
  <c r="P102" i="6"/>
  <c r="P99" i="6"/>
  <c r="O98" i="6"/>
  <c r="O105" i="6"/>
  <c r="P103" i="6"/>
  <c r="O102" i="6"/>
  <c r="P100" i="6"/>
  <c r="O99" i="6"/>
  <c r="O103" i="6"/>
  <c r="P101" i="6"/>
  <c r="Q96" i="6"/>
  <c r="Q90" i="6"/>
  <c r="Q91" i="6"/>
  <c r="Q92" i="6"/>
  <c r="Q93" i="6"/>
  <c r="P93" i="6"/>
  <c r="O92" i="6"/>
  <c r="P92" i="6"/>
  <c r="O91" i="6"/>
  <c r="P96" i="6"/>
  <c r="O93" i="6"/>
  <c r="P90" i="6"/>
  <c r="O96" i="6"/>
  <c r="P91" i="6"/>
  <c r="O90" i="6"/>
  <c r="Q44" i="6"/>
  <c r="Q47" i="6"/>
  <c r="Q46" i="6"/>
  <c r="Q43" i="6"/>
  <c r="Q42" i="6"/>
  <c r="P47" i="6"/>
  <c r="P43" i="6"/>
  <c r="O42" i="6"/>
  <c r="O47" i="6"/>
  <c r="P44" i="6"/>
  <c r="O43" i="6"/>
  <c r="O46" i="6"/>
  <c r="P46" i="6"/>
  <c r="O44" i="6"/>
  <c r="P42" i="6"/>
  <c r="Q33" i="6"/>
  <c r="Q34" i="6"/>
  <c r="O34" i="6"/>
  <c r="P34" i="6"/>
  <c r="P33" i="6"/>
  <c r="O33" i="6"/>
  <c r="W33" i="6" s="1"/>
  <c r="Q40" i="6"/>
  <c r="P40" i="6"/>
  <c r="O40" i="6"/>
  <c r="Q32" i="6"/>
  <c r="P32" i="6"/>
  <c r="O32" i="6"/>
  <c r="Q560" i="6"/>
  <c r="Q550" i="6"/>
  <c r="P550" i="6"/>
  <c r="O550" i="6"/>
  <c r="Q27" i="6"/>
  <c r="P27" i="6"/>
  <c r="O27" i="6"/>
  <c r="P533" i="6"/>
  <c r="O533" i="6"/>
  <c r="Q533" i="6"/>
  <c r="Q383" i="6"/>
  <c r="P292" i="6"/>
  <c r="O292" i="6"/>
  <c r="Q292" i="6"/>
  <c r="P77" i="6"/>
  <c r="O77" i="6"/>
  <c r="P534" i="6"/>
  <c r="O534" i="6"/>
  <c r="Q535" i="6"/>
  <c r="Q534" i="6"/>
  <c r="P560" i="6"/>
  <c r="O560" i="6"/>
  <c r="Q29" i="6"/>
  <c r="Q470" i="6"/>
  <c r="P61" i="6"/>
  <c r="O61" i="6"/>
  <c r="Q50" i="6"/>
  <c r="Q61" i="6"/>
  <c r="P535" i="6"/>
  <c r="O535" i="6"/>
  <c r="P470" i="6"/>
  <c r="O470" i="6"/>
  <c r="P383" i="6"/>
  <c r="O383" i="6"/>
  <c r="P86" i="6"/>
  <c r="O86" i="6"/>
  <c r="Q86" i="6"/>
  <c r="P29" i="6"/>
  <c r="O29" i="6"/>
  <c r="Q539" i="6"/>
  <c r="P477" i="6"/>
  <c r="O477" i="6"/>
  <c r="Q477" i="6"/>
  <c r="P301" i="6"/>
  <c r="O301" i="6"/>
  <c r="Q301" i="6"/>
  <c r="P358" i="6"/>
  <c r="O358" i="6"/>
  <c r="Q358" i="6"/>
  <c r="P50" i="6"/>
  <c r="O50" i="6"/>
  <c r="Q30" i="6"/>
  <c r="P539" i="6"/>
  <c r="O539" i="6"/>
  <c r="Q207" i="6"/>
  <c r="P207" i="6"/>
  <c r="O207" i="6"/>
  <c r="P30" i="6"/>
  <c r="O30" i="6"/>
  <c r="Q532" i="6"/>
  <c r="Q79" i="6"/>
  <c r="P532" i="6"/>
  <c r="O532" i="6"/>
  <c r="P321" i="6"/>
  <c r="O320" i="6"/>
  <c r="P318" i="6"/>
  <c r="O317" i="6"/>
  <c r="P320" i="6"/>
  <c r="O319" i="6"/>
  <c r="O321" i="6"/>
  <c r="O318" i="6"/>
  <c r="P315" i="6"/>
  <c r="P319" i="6"/>
  <c r="O315" i="6"/>
  <c r="P317" i="6"/>
  <c r="Q315" i="6"/>
  <c r="Q320" i="6"/>
  <c r="Q321" i="6"/>
  <c r="Q319" i="6"/>
  <c r="Q317" i="6"/>
  <c r="Q318" i="6"/>
  <c r="P79" i="6"/>
  <c r="O79" i="6"/>
  <c r="P132" i="6"/>
  <c r="O132" i="6"/>
  <c r="Q132" i="6"/>
  <c r="O511" i="6"/>
  <c r="P509" i="6"/>
  <c r="O510" i="6"/>
  <c r="P510" i="6"/>
  <c r="O509" i="6"/>
  <c r="P511" i="6"/>
  <c r="Q509" i="6"/>
  <c r="Q510" i="6"/>
  <c r="Q511" i="6"/>
  <c r="Q432" i="6"/>
  <c r="P432" i="6"/>
  <c r="O432" i="6"/>
  <c r="Q264" i="6"/>
  <c r="Q265" i="6"/>
  <c r="Q262" i="6"/>
  <c r="P265" i="6"/>
  <c r="P262" i="6"/>
  <c r="O265" i="6"/>
  <c r="O262" i="6"/>
  <c r="P264" i="6"/>
  <c r="O264" i="6"/>
  <c r="P249" i="6"/>
  <c r="O249" i="6"/>
  <c r="Q249" i="6"/>
  <c r="Q241" i="6"/>
  <c r="Q240" i="6"/>
  <c r="P241" i="6"/>
  <c r="O240" i="6"/>
  <c r="P240" i="6"/>
  <c r="O241" i="6"/>
  <c r="Q235" i="6"/>
  <c r="Q237" i="6"/>
  <c r="O237" i="6"/>
  <c r="P235" i="6"/>
  <c r="P237" i="6"/>
  <c r="O235" i="6"/>
  <c r="Q203" i="6"/>
  <c r="P203" i="6"/>
  <c r="O203" i="6"/>
  <c r="P316" i="6"/>
  <c r="O316" i="6"/>
  <c r="Q316" i="6"/>
  <c r="O296" i="6"/>
  <c r="P291" i="6"/>
  <c r="P296" i="6"/>
  <c r="O294" i="6"/>
  <c r="O291" i="6"/>
  <c r="P294" i="6"/>
  <c r="Q294" i="6"/>
  <c r="Q296" i="6"/>
  <c r="Q291" i="6"/>
  <c r="P353" i="6"/>
  <c r="O352" i="6"/>
  <c r="O346" i="6"/>
  <c r="P344" i="6"/>
  <c r="O343" i="6"/>
  <c r="O355" i="6"/>
  <c r="P343" i="6"/>
  <c r="P354" i="6"/>
  <c r="O353" i="6"/>
  <c r="P347" i="6"/>
  <c r="P345" i="6"/>
  <c r="O344" i="6"/>
  <c r="P352" i="6"/>
  <c r="P346" i="6"/>
  <c r="P355" i="6"/>
  <c r="O354" i="6"/>
  <c r="P349" i="6"/>
  <c r="O347" i="6"/>
  <c r="O345" i="6"/>
  <c r="O349" i="6"/>
  <c r="Q354" i="6"/>
  <c r="Q347" i="6"/>
  <c r="Q345" i="6"/>
  <c r="Q344" i="6"/>
  <c r="Q355" i="6"/>
  <c r="Q349" i="6"/>
  <c r="Q352" i="6"/>
  <c r="Q346" i="6"/>
  <c r="Q343" i="6"/>
  <c r="Q353" i="6"/>
  <c r="O143" i="6"/>
  <c r="P143" i="6"/>
  <c r="Q143" i="6"/>
  <c r="P195" i="6"/>
  <c r="O195" i="6"/>
  <c r="Q195" i="6"/>
  <c r="Q52" i="6"/>
  <c r="Q261" i="6"/>
  <c r="P52" i="6"/>
  <c r="O52" i="6"/>
  <c r="Q87" i="6"/>
  <c r="Q97" i="6"/>
  <c r="O97" i="6"/>
  <c r="P97" i="6"/>
  <c r="P87" i="6"/>
  <c r="O87" i="6"/>
  <c r="P286" i="6"/>
  <c r="O281" i="6"/>
  <c r="O283" i="6"/>
  <c r="P281" i="6"/>
  <c r="O280" i="6"/>
  <c r="O286" i="6"/>
  <c r="P283" i="6"/>
  <c r="P280" i="6"/>
  <c r="Q286" i="6"/>
  <c r="Q283" i="6"/>
  <c r="Q280" i="6"/>
  <c r="Q281" i="6"/>
  <c r="Q476" i="6"/>
  <c r="P476" i="6"/>
  <c r="O476" i="6"/>
  <c r="P114" i="6"/>
  <c r="O114" i="6"/>
  <c r="Q114" i="6"/>
  <c r="Q231" i="6"/>
  <c r="Q538" i="6"/>
  <c r="P538" i="6"/>
  <c r="O538" i="6"/>
  <c r="P231" i="6"/>
  <c r="O231" i="6"/>
  <c r="P60" i="6"/>
  <c r="O60" i="6"/>
  <c r="Q63" i="6"/>
  <c r="Q60" i="6"/>
  <c r="P63" i="6"/>
  <c r="O63" i="6"/>
  <c r="P261" i="6"/>
  <c r="O261" i="6"/>
  <c r="P388" i="6"/>
  <c r="P390" i="6"/>
  <c r="O388" i="6"/>
  <c r="O390" i="6"/>
  <c r="Q390" i="6"/>
  <c r="Q388" i="6"/>
  <c r="O332" i="6"/>
  <c r="P331" i="6"/>
  <c r="O331" i="6"/>
  <c r="P332" i="6"/>
  <c r="Q331" i="6"/>
  <c r="Q332" i="6"/>
  <c r="P531" i="6"/>
  <c r="O531" i="6"/>
  <c r="Q531" i="6"/>
  <c r="Q520" i="6"/>
  <c r="P520" i="6"/>
  <c r="O520" i="6"/>
  <c r="Q540" i="6"/>
  <c r="P540" i="6"/>
  <c r="O540" i="6"/>
  <c r="Q447" i="6"/>
  <c r="Q448" i="6"/>
  <c r="O448" i="6"/>
  <c r="P447" i="6"/>
  <c r="P448" i="6"/>
  <c r="O447" i="6"/>
  <c r="P268" i="6"/>
  <c r="P269" i="6"/>
  <c r="O268" i="6"/>
  <c r="O269" i="6"/>
  <c r="Q269" i="6"/>
  <c r="Q268" i="6"/>
  <c r="O385" i="6"/>
  <c r="O382" i="6"/>
  <c r="P384" i="6"/>
  <c r="P381" i="6"/>
  <c r="P385" i="6"/>
  <c r="O384" i="6"/>
  <c r="P382" i="6"/>
  <c r="O381" i="6"/>
  <c r="Q384" i="6"/>
  <c r="Q381" i="6"/>
  <c r="Q385" i="6"/>
  <c r="Q382" i="6"/>
  <c r="P363" i="6"/>
  <c r="O363" i="6"/>
  <c r="Q363" i="6"/>
  <c r="O362" i="6"/>
  <c r="P361" i="6"/>
  <c r="P362" i="6"/>
  <c r="O361" i="6"/>
  <c r="Q361" i="6"/>
  <c r="Q362" i="6"/>
  <c r="O167" i="6"/>
  <c r="P167" i="6"/>
  <c r="P170" i="6"/>
  <c r="O170" i="6"/>
  <c r="Q170" i="6"/>
  <c r="Q167" i="6"/>
  <c r="Q139" i="6"/>
  <c r="Q142" i="6"/>
  <c r="P139" i="6"/>
  <c r="P142" i="6"/>
  <c r="O139" i="6"/>
  <c r="O142" i="6"/>
  <c r="Q478" i="6"/>
  <c r="P478" i="6"/>
  <c r="O478" i="6"/>
  <c r="P303" i="6"/>
  <c r="O303" i="6"/>
  <c r="Q303" i="6"/>
  <c r="O302" i="6"/>
  <c r="P299" i="6"/>
  <c r="P302" i="6"/>
  <c r="O299" i="6"/>
  <c r="Q299" i="6"/>
  <c r="Q302" i="6"/>
  <c r="Q112" i="6"/>
  <c r="P112" i="6"/>
  <c r="O112" i="6"/>
  <c r="P176" i="6"/>
  <c r="O176" i="6"/>
  <c r="W176" i="6" s="1"/>
  <c r="Q176" i="6"/>
  <c r="P174" i="6"/>
  <c r="O174" i="6"/>
  <c r="Q174" i="6"/>
  <c r="P80" i="6"/>
  <c r="O78" i="6"/>
  <c r="P82" i="6"/>
  <c r="O80" i="6"/>
  <c r="O82" i="6"/>
  <c r="P78" i="6"/>
  <c r="Q82" i="6"/>
  <c r="Q80" i="6"/>
  <c r="Q78" i="6"/>
  <c r="O74" i="6"/>
  <c r="P71" i="6"/>
  <c r="O70" i="6"/>
  <c r="O68" i="6"/>
  <c r="P66" i="6"/>
  <c r="O65" i="6"/>
  <c r="P72" i="6"/>
  <c r="O71" i="6"/>
  <c r="P69" i="6"/>
  <c r="O66" i="6"/>
  <c r="P65" i="6"/>
  <c r="O64" i="6"/>
  <c r="O72" i="6"/>
  <c r="O69" i="6"/>
  <c r="P64" i="6"/>
  <c r="P74" i="6"/>
  <c r="P70" i="6"/>
  <c r="P68" i="6"/>
  <c r="Q72" i="6"/>
  <c r="Q69" i="6"/>
  <c r="Q66" i="6"/>
  <c r="Q64" i="6"/>
  <c r="Q74" i="6"/>
  <c r="Q70" i="6"/>
  <c r="Q68" i="6"/>
  <c r="Q65" i="6"/>
  <c r="Q71" i="6"/>
  <c r="Q56" i="6"/>
  <c r="Q55" i="6"/>
  <c r="Q59" i="6"/>
  <c r="Q54" i="6"/>
  <c r="P59" i="6"/>
  <c r="P55" i="6"/>
  <c r="O54" i="6"/>
  <c r="P54" i="6"/>
  <c r="O59" i="6"/>
  <c r="P56" i="6"/>
  <c r="O55" i="6"/>
  <c r="O56" i="6"/>
  <c r="P51" i="6"/>
  <c r="O51" i="6"/>
  <c r="Q51" i="6"/>
  <c r="Q25" i="6"/>
  <c r="Q26" i="6"/>
  <c r="P26" i="6"/>
  <c r="O25" i="6"/>
  <c r="O26" i="6"/>
  <c r="P25" i="6"/>
  <c r="Q392" i="6"/>
  <c r="P392" i="6"/>
  <c r="O392" i="6"/>
  <c r="Q410" i="6"/>
  <c r="P410" i="6"/>
  <c r="O410" i="6"/>
  <c r="Q115" i="6"/>
  <c r="P115" i="6"/>
  <c r="O115" i="6"/>
  <c r="B5" i="40"/>
  <c r="Q89" i="6"/>
  <c r="P89" i="6"/>
  <c r="O89" i="6"/>
  <c r="Q21" i="6"/>
  <c r="P21" i="6"/>
  <c r="O21" i="6"/>
  <c r="P420" i="6"/>
  <c r="O420" i="6"/>
  <c r="Q420" i="6"/>
  <c r="Q75" i="6"/>
  <c r="P75" i="6"/>
  <c r="O75" i="6"/>
  <c r="Q449" i="6"/>
  <c r="P449" i="6"/>
  <c r="O449" i="6"/>
  <c r="P125" i="6"/>
  <c r="O125" i="6"/>
  <c r="Q125" i="6"/>
  <c r="Q479" i="6"/>
  <c r="P479" i="6"/>
  <c r="O479" i="6"/>
  <c r="P153" i="6"/>
  <c r="O153" i="6"/>
  <c r="Q153" i="6"/>
  <c r="P271" i="6"/>
  <c r="O271" i="6"/>
  <c r="Q271" i="6"/>
  <c r="Q242" i="6"/>
  <c r="P242" i="6"/>
  <c r="O242" i="6"/>
  <c r="P208" i="6"/>
  <c r="Q138" i="6"/>
  <c r="Q172" i="6"/>
  <c r="Q23" i="6"/>
  <c r="O23" i="6"/>
  <c r="P23" i="6"/>
  <c r="Q166" i="6"/>
  <c r="Q20" i="6"/>
  <c r="P20" i="6"/>
  <c r="O20" i="6"/>
  <c r="O202" i="6"/>
  <c r="Q475" i="6"/>
  <c r="O208" i="6"/>
  <c r="Q502" i="6"/>
  <c r="P202" i="6"/>
  <c r="Q111" i="6"/>
  <c r="S8" i="21"/>
  <c r="S10" i="21"/>
  <c r="S12" i="21"/>
  <c r="P530" i="6"/>
  <c r="O508" i="6"/>
  <c r="O530" i="6"/>
  <c r="P512" i="6"/>
  <c r="O512" i="6"/>
  <c r="P508" i="6"/>
  <c r="P53" i="6"/>
  <c r="O49" i="6"/>
  <c r="O53" i="6"/>
  <c r="P49" i="6"/>
  <c r="O267" i="6"/>
  <c r="P267" i="6"/>
  <c r="P289" i="6"/>
  <c r="O289" i="6"/>
  <c r="Q53" i="6"/>
  <c r="Q49" i="6"/>
  <c r="P475" i="6"/>
  <c r="P502" i="6"/>
  <c r="O475" i="6"/>
  <c r="O502" i="6"/>
  <c r="Q380" i="6"/>
  <c r="Q360" i="6"/>
  <c r="Q370" i="6"/>
  <c r="P172" i="6"/>
  <c r="O172" i="6"/>
  <c r="Q322" i="6"/>
  <c r="Q298" i="6"/>
  <c r="Q314" i="6"/>
  <c r="Q351" i="6"/>
  <c r="Q342" i="6"/>
  <c r="Q329" i="6"/>
  <c r="Q333" i="6"/>
  <c r="P387" i="6"/>
  <c r="O402" i="6"/>
  <c r="O387" i="6"/>
  <c r="P402" i="6"/>
  <c r="Q22" i="6"/>
  <c r="Q16" i="6"/>
  <c r="P138" i="6"/>
  <c r="O138" i="6"/>
  <c r="W138" i="6" s="1"/>
  <c r="P166" i="6"/>
  <c r="O166" i="6"/>
  <c r="Q208" i="6"/>
  <c r="Q202" i="6"/>
  <c r="P322" i="6"/>
  <c r="O322" i="6"/>
  <c r="P314" i="6"/>
  <c r="P298" i="6"/>
  <c r="O298" i="6"/>
  <c r="O314" i="6"/>
  <c r="O329" i="6"/>
  <c r="O342" i="6"/>
  <c r="O333" i="6"/>
  <c r="P329" i="6"/>
  <c r="P351" i="6"/>
  <c r="O351" i="6"/>
  <c r="P333" i="6"/>
  <c r="P342" i="6"/>
  <c r="S7" i="21"/>
  <c r="S9" i="21"/>
  <c r="S11" i="21"/>
  <c r="S13" i="21"/>
  <c r="Q106" i="6"/>
  <c r="Q84" i="6"/>
  <c r="Q85" i="6"/>
  <c r="Q446" i="6"/>
  <c r="P370" i="6"/>
  <c r="O380" i="6"/>
  <c r="O370" i="6"/>
  <c r="P360" i="6"/>
  <c r="O360" i="6"/>
  <c r="P380" i="6"/>
  <c r="Q440" i="6"/>
  <c r="Q416" i="6"/>
  <c r="O446" i="6"/>
  <c r="P446" i="6"/>
  <c r="P85" i="6"/>
  <c r="P84" i="6"/>
  <c r="O85" i="6"/>
  <c r="P106" i="6"/>
  <c r="O84" i="6"/>
  <c r="O106" i="6"/>
  <c r="Q537" i="6"/>
  <c r="Q541" i="6"/>
  <c r="O22" i="6"/>
  <c r="O16" i="6"/>
  <c r="P16" i="6"/>
  <c r="P22" i="6"/>
  <c r="Q239" i="6"/>
  <c r="Q267" i="6"/>
  <c r="Q289" i="6"/>
  <c r="Q402" i="6"/>
  <c r="Q387" i="6"/>
  <c r="Q512" i="6"/>
  <c r="Q530" i="6"/>
  <c r="Q508" i="6"/>
  <c r="P440" i="6"/>
  <c r="P416" i="6"/>
  <c r="O416" i="6"/>
  <c r="O440" i="6"/>
  <c r="O537" i="6"/>
  <c r="P537" i="6"/>
  <c r="P541" i="6"/>
  <c r="O541" i="6"/>
  <c r="O111" i="6"/>
  <c r="P111" i="6"/>
  <c r="O239" i="6"/>
  <c r="P239" i="6"/>
  <c r="W57" i="6" l="1"/>
  <c r="W502" i="6"/>
  <c r="W479" i="6"/>
  <c r="W70" i="6"/>
  <c r="W382" i="6"/>
  <c r="W476" i="6"/>
  <c r="W47" i="6"/>
  <c r="W102" i="6"/>
  <c r="M44" i="8" s="1"/>
  <c r="W39" i="6"/>
  <c r="W360" i="6"/>
  <c r="W67" i="6"/>
  <c r="E27" i="8" s="1"/>
  <c r="W66" i="6"/>
  <c r="W268" i="6"/>
  <c r="W281" i="6"/>
  <c r="W119" i="6"/>
  <c r="W169" i="6"/>
  <c r="W489" i="6"/>
  <c r="W108" i="6"/>
  <c r="W195" i="6"/>
  <c r="W188" i="6"/>
  <c r="W160" i="6"/>
  <c r="W54" i="6"/>
  <c r="I42" i="8" s="1"/>
  <c r="W46" i="6"/>
  <c r="W107" i="6"/>
  <c r="W198" i="6"/>
  <c r="W395" i="6"/>
  <c r="W495" i="6"/>
  <c r="W506" i="6"/>
  <c r="W32" i="6"/>
  <c r="W190" i="6"/>
  <c r="I26" i="8" s="1"/>
  <c r="W481" i="6"/>
  <c r="W414" i="6"/>
  <c r="W292" i="6"/>
  <c r="W90" i="6"/>
  <c r="W280" i="6"/>
  <c r="W271" i="6"/>
  <c r="W154" i="6"/>
  <c r="W177" i="6"/>
  <c r="W186" i="6"/>
  <c r="W197" i="6"/>
  <c r="W289" i="6"/>
  <c r="W75" i="6"/>
  <c r="W16" i="6"/>
  <c r="I44" i="8"/>
  <c r="W172" i="6"/>
  <c r="I8" i="8"/>
  <c r="W84" i="6"/>
  <c r="S14" i="21"/>
  <c r="W387" i="6"/>
  <c r="W49" i="6"/>
  <c r="I24" i="8"/>
  <c r="M24" i="8"/>
  <c r="M12" i="8" l="1"/>
  <c r="M39" i="8"/>
  <c r="E44" i="8"/>
  <c r="E39" i="8"/>
  <c r="I25" i="8"/>
  <c r="M45" i="8"/>
  <c r="E41" i="8"/>
  <c r="E40" i="8"/>
  <c r="M8" i="8"/>
  <c r="M27" i="8"/>
  <c r="M9" i="8"/>
  <c r="E42" i="8"/>
  <c r="M10" i="8"/>
  <c r="M25" i="8"/>
  <c r="M46" i="8"/>
  <c r="E46" i="8"/>
  <c r="I39" i="8"/>
  <c r="M41" i="8"/>
  <c r="E9" i="8"/>
  <c r="M11" i="8"/>
  <c r="I45" i="8"/>
  <c r="M29" i="8"/>
  <c r="M5" i="8"/>
  <c r="E25" i="8"/>
  <c r="I49" i="8"/>
  <c r="I29" i="8"/>
  <c r="E8" i="8"/>
  <c r="I22" i="8"/>
  <c r="I9" i="8"/>
  <c r="I28" i="8"/>
  <c r="B7" i="40"/>
  <c r="I7" i="8"/>
  <c r="I32" i="8"/>
  <c r="M26" i="8"/>
  <c r="E6" i="8"/>
  <c r="M42" i="8"/>
  <c r="I6" i="8"/>
  <c r="E22" i="8"/>
  <c r="M32" i="8"/>
  <c r="I12" i="8"/>
  <c r="E12" i="8"/>
  <c r="I15" i="8"/>
  <c r="M14" i="8"/>
  <c r="E14" i="8"/>
  <c r="M31" i="8"/>
  <c r="E31" i="8"/>
  <c r="I48" i="8"/>
  <c r="E48" i="8"/>
  <c r="I31" i="8"/>
  <c r="M48" i="8"/>
  <c r="E32" i="8"/>
  <c r="M49" i="8"/>
  <c r="M15" i="8"/>
  <c r="E49" i="8"/>
  <c r="E15" i="8"/>
  <c r="I14" i="8"/>
  <c r="E26" i="8"/>
  <c r="M22" i="8"/>
  <c r="E5" i="8"/>
  <c r="I5" i="8"/>
  <c r="I11" i="8"/>
  <c r="I10" i="8"/>
  <c r="M43" i="8"/>
  <c r="E10" i="8"/>
  <c r="I46" i="8"/>
  <c r="E43" i="8"/>
  <c r="I41" i="8"/>
  <c r="M40" i="8"/>
  <c r="M23" i="8"/>
  <c r="M6" i="8"/>
  <c r="E23" i="8"/>
  <c r="I23" i="8"/>
  <c r="M7" i="8"/>
  <c r="I40" i="8"/>
  <c r="M47" i="8"/>
  <c r="E30" i="8"/>
  <c r="M13" i="8"/>
  <c r="I47" i="8"/>
  <c r="E47" i="8"/>
  <c r="M30" i="8"/>
  <c r="E13" i="8"/>
  <c r="I30" i="8"/>
  <c r="I13" i="8"/>
  <c r="E7" i="8"/>
  <c r="E24" i="8"/>
  <c r="I27" i="8"/>
  <c r="E28" i="8"/>
  <c r="M28" i="8"/>
  <c r="E45" i="8"/>
  <c r="I43" i="8"/>
  <c r="E11" i="8"/>
  <c r="E29" i="8"/>
  <c r="I50" i="8" l="1"/>
  <c r="M16" i="8"/>
  <c r="E50" i="8"/>
  <c r="I33" i="8"/>
  <c r="M50" i="8"/>
  <c r="E33" i="8"/>
  <c r="M33" i="8"/>
  <c r="I16" i="8"/>
  <c r="E16" i="8"/>
  <c r="C8" i="40" l="1"/>
  <c r="D8" i="40" s="1"/>
  <c r="C10" i="40"/>
  <c r="D10" i="40" s="1"/>
  <c r="C4" i="40"/>
  <c r="D4" i="40" s="1"/>
  <c r="C5" i="40"/>
  <c r="D5" i="40" s="1"/>
  <c r="C9" i="40"/>
  <c r="D9" i="40" s="1"/>
  <c r="C7" i="40"/>
  <c r="D7" i="40" s="1"/>
  <c r="C6" i="40"/>
  <c r="D6" i="40" s="1"/>
  <c r="C12" i="40"/>
  <c r="D12" i="40" s="1"/>
  <c r="C11" i="40"/>
  <c r="D11" i="40" s="1"/>
  <c r="D13" i="40" l="1"/>
  <c r="E6" i="40" l="1"/>
  <c r="E7" i="40"/>
  <c r="E9" i="40"/>
  <c r="E10" i="40"/>
  <c r="E5" i="40"/>
  <c r="E11" i="40"/>
  <c r="E8" i="40"/>
  <c r="E12" i="40"/>
  <c r="E4" i="40"/>
  <c r="H3" i="8"/>
  <c r="L3" i="8"/>
  <c r="H37" i="8"/>
  <c r="L37" i="8"/>
  <c r="D3" i="8"/>
  <c r="D20" i="8"/>
  <c r="H20" i="8"/>
  <c r="L20" i="8"/>
  <c r="D37" i="8"/>
</calcChain>
</file>

<file path=xl/sharedStrings.xml><?xml version="1.0" encoding="utf-8"?>
<sst xmlns="http://schemas.openxmlformats.org/spreadsheetml/2006/main" count="4035" uniqueCount="677">
  <si>
    <t>Torwart</t>
  </si>
  <si>
    <t>Abwehr</t>
  </si>
  <si>
    <t>Mittelfeld</t>
  </si>
  <si>
    <t>Sturm</t>
  </si>
  <si>
    <t>Spiel-</t>
  </si>
  <si>
    <t>pkt.</t>
  </si>
  <si>
    <t>Pkt.</t>
  </si>
  <si>
    <t>2-/3-</t>
  </si>
  <si>
    <t>Pack</t>
  </si>
  <si>
    <t>Bayern München</t>
  </si>
  <si>
    <t>Punkte</t>
  </si>
  <si>
    <t>Spielerauswertung</t>
  </si>
  <si>
    <t xml:space="preserve">Tipp  </t>
  </si>
  <si>
    <t>E</t>
  </si>
  <si>
    <t>Pkt</t>
  </si>
  <si>
    <t>Gespielt</t>
  </si>
  <si>
    <t>Tor</t>
  </si>
  <si>
    <t>Ges.-</t>
  </si>
  <si>
    <t>GT</t>
  </si>
  <si>
    <t>ET</t>
  </si>
  <si>
    <t>Spieltag</t>
  </si>
  <si>
    <t>Gelbe</t>
  </si>
  <si>
    <t>Karte</t>
  </si>
  <si>
    <t>Rote</t>
  </si>
  <si>
    <t>Gegen</t>
  </si>
  <si>
    <t>tor</t>
  </si>
  <si>
    <t>Geschossene</t>
  </si>
  <si>
    <t>Eigentore</t>
  </si>
  <si>
    <t>Selbst erzielte</t>
  </si>
  <si>
    <t>Tore</t>
  </si>
  <si>
    <t>Bayer Leverkusen</t>
  </si>
  <si>
    <t>VfL Wolfsburg</t>
  </si>
  <si>
    <t>Borussia Dortmund</t>
  </si>
  <si>
    <t>Gelb-Rote Karte</t>
  </si>
  <si>
    <t>Dortmund - erzielte Tore</t>
  </si>
  <si>
    <t>Dortmund - Gegentore</t>
  </si>
  <si>
    <t>Leverkusen - erzielte Tore</t>
  </si>
  <si>
    <t>Leverkusen - Gegentore</t>
  </si>
  <si>
    <t>Wolfsburg - Gegentore</t>
  </si>
  <si>
    <t>Wolfsburg - erzielte Tore</t>
  </si>
  <si>
    <t>Paulo</t>
  </si>
  <si>
    <t>Bax de Luxe</t>
  </si>
  <si>
    <t>TW</t>
  </si>
  <si>
    <t>AB</t>
  </si>
  <si>
    <t>MF</t>
  </si>
  <si>
    <t>ST</t>
  </si>
  <si>
    <t>Mannschaftstipp</t>
  </si>
  <si>
    <t>Bonuspunkte</t>
  </si>
  <si>
    <t>Ergebnistipp</t>
  </si>
  <si>
    <t>München - erzielte Tore</t>
  </si>
  <si>
    <t>München - Gegentore</t>
  </si>
  <si>
    <t>Pinguins on Fire</t>
  </si>
  <si>
    <t>Pitti</t>
  </si>
  <si>
    <t>Himmelfahrtskommando</t>
  </si>
  <si>
    <t>München</t>
  </si>
  <si>
    <t>Wolfsburg</t>
  </si>
  <si>
    <t>Leverkusen</t>
  </si>
  <si>
    <t>Dortmund</t>
  </si>
  <si>
    <t>Manuel Neuer</t>
  </si>
  <si>
    <t>-</t>
  </si>
  <si>
    <t>Mats Hummels</t>
  </si>
  <si>
    <t>Spieler</t>
  </si>
  <si>
    <t>Bayer 04 Leverkusen</t>
  </si>
  <si>
    <t>Gelbe     Karte</t>
  </si>
  <si>
    <t>Ampel-karte</t>
  </si>
  <si>
    <t>Rote Karte</t>
  </si>
  <si>
    <t>Makoto Hasebe (A)</t>
  </si>
  <si>
    <t>M'gladbach - erzielte Tore</t>
  </si>
  <si>
    <t>M'gladbach - Gegentore</t>
  </si>
  <si>
    <t>Bor. M'gladbach</t>
  </si>
  <si>
    <t>1899 Hoffenheim</t>
  </si>
  <si>
    <t>Hoffenheim - erzielte Tore</t>
  </si>
  <si>
    <t>Hoffenheim - Gegentore</t>
  </si>
  <si>
    <t>Borussia Mönchengladbach</t>
  </si>
  <si>
    <t>Spieler14</t>
  </si>
  <si>
    <t>Spieler15</t>
  </si>
  <si>
    <t>M'gladbach</t>
  </si>
  <si>
    <t>Hoffenheim</t>
  </si>
  <si>
    <t>Rainer</t>
  </si>
  <si>
    <t>Niemals zu den Bayern</t>
  </si>
  <si>
    <t>Thomas Müller</t>
  </si>
  <si>
    <t>v</t>
  </si>
  <si>
    <t>Tony Jantschke</t>
  </si>
  <si>
    <t>Marco Reus</t>
  </si>
  <si>
    <t>Mainz - erzielte Tore</t>
  </si>
  <si>
    <t>Mainz - Gegentore</t>
  </si>
  <si>
    <t>Oliver Baumann</t>
  </si>
  <si>
    <t>Freiburg</t>
  </si>
  <si>
    <t>Mainz</t>
  </si>
  <si>
    <t>Spieler 13</t>
  </si>
  <si>
    <t>Himmelfahrts-kommando</t>
  </si>
  <si>
    <t>Patrick Herrmann</t>
  </si>
  <si>
    <t>Verbleibende Wechsel:</t>
  </si>
  <si>
    <t>Augsburg - erzielte Tore</t>
  </si>
  <si>
    <t>Augsburg - Gegentore</t>
  </si>
  <si>
    <t>Augsburg</t>
  </si>
  <si>
    <t>FC Augsburg</t>
  </si>
  <si>
    <t xml:space="preserve">FC Augsburg </t>
  </si>
  <si>
    <t>Timothy Chandler</t>
  </si>
  <si>
    <t>Robin Knoche</t>
  </si>
  <si>
    <t>Markus</t>
  </si>
  <si>
    <t>Koen Casteels (A)</t>
  </si>
  <si>
    <t>Nobody</t>
  </si>
  <si>
    <t>Frankfurt</t>
  </si>
  <si>
    <t>Frankfurt - erzielte Tore</t>
  </si>
  <si>
    <t>Frankfurt - Gegentore</t>
  </si>
  <si>
    <t>Eintracht Frankfurt</t>
  </si>
  <si>
    <t>Stefan Bell</t>
  </si>
  <si>
    <t>Maximilian Arnold</t>
  </si>
  <si>
    <t>Matthias Ginter</t>
  </si>
  <si>
    <t>Dominik Kohr</t>
  </si>
  <si>
    <t>Sebastian Rode</t>
  </si>
  <si>
    <t>Kevin Vogt</t>
  </si>
  <si>
    <t>Christoph Kramer</t>
  </si>
  <si>
    <t>1. FSV Mainz</t>
  </si>
  <si>
    <t>Jonas Hofmann</t>
  </si>
  <si>
    <t>Leon Goretzka</t>
  </si>
  <si>
    <t>Jonathan Tah</t>
  </si>
  <si>
    <t>Niklas Süle</t>
  </si>
  <si>
    <t>TSG 1899 Hoffenheim</t>
  </si>
  <si>
    <t>1. FSV Mainz 05</t>
  </si>
  <si>
    <t>Julian Brandt</t>
  </si>
  <si>
    <t xml:space="preserve"> TSG 1899 Hoffenheim</t>
  </si>
  <si>
    <t>Joshua Kimmich</t>
  </si>
  <si>
    <t>Tobias Sippel</t>
  </si>
  <si>
    <t>Nico Elvedi (A)</t>
  </si>
  <si>
    <t>Kevin Kampl (A)</t>
  </si>
  <si>
    <t>Danny da Costa</t>
  </si>
  <si>
    <t>RB Leipzig</t>
  </si>
  <si>
    <t>SC Freiburg</t>
  </si>
  <si>
    <t>Leipzig - erzielte Tore</t>
  </si>
  <si>
    <t>Leipzig - Gegentore</t>
  </si>
  <si>
    <t>Freiburg - erzielte Tore</t>
  </si>
  <si>
    <t>Freiburg - Gegentore</t>
  </si>
  <si>
    <t>Leipzig</t>
  </si>
  <si>
    <t>Karim Onisiwo (A)</t>
  </si>
  <si>
    <t>Davie Selke</t>
  </si>
  <si>
    <t>Yussuf Poulsen (A)</t>
  </si>
  <si>
    <t>Kingsley Coman (A)</t>
  </si>
  <si>
    <t>Florian Kainz (A)</t>
  </si>
  <si>
    <t>Rani Khedira</t>
  </si>
  <si>
    <t>Nicolas Höfler</t>
  </si>
  <si>
    <t>Janik Haberer</t>
  </si>
  <si>
    <t>Dennis Geiger</t>
  </si>
  <si>
    <t>Niklas Stark</t>
  </si>
  <si>
    <t>Willi Orban</t>
  </si>
  <si>
    <t>Lukas Kübler</t>
  </si>
  <si>
    <t>Raphael Guerreiro (A)</t>
  </si>
  <si>
    <t>Maximilian Mittelstädt</t>
  </si>
  <si>
    <t>Lukas Klostermann</t>
  </si>
  <si>
    <t>Jeffrey Gouweleeuw (A)</t>
  </si>
  <si>
    <t>Christian Günter</t>
  </si>
  <si>
    <t>Manuel Gulde</t>
  </si>
  <si>
    <t>Florian Müller</t>
  </si>
  <si>
    <t>Alexander Schwolow</t>
  </si>
  <si>
    <t>c</t>
  </si>
  <si>
    <t>Dayot Upamecano (A)</t>
  </si>
  <si>
    <t>Konrad Laimer (A)</t>
  </si>
  <si>
    <t>Kevin Akpoguma</t>
  </si>
  <si>
    <t>Pavel Kaderábek (A)</t>
  </si>
  <si>
    <t>Serge Gnabry</t>
  </si>
  <si>
    <t>Philipp Lienhart (A)</t>
  </si>
  <si>
    <t>Elvis Rexhbecaj</t>
  </si>
  <si>
    <t>Christoph Baumgartner (A)</t>
  </si>
  <si>
    <t>Florian Neuhaus</t>
  </si>
  <si>
    <t>Alassane Plea (A)</t>
  </si>
  <si>
    <t>Fredrik Jensen (A)</t>
  </si>
  <si>
    <t>Robin Zentner</t>
  </si>
  <si>
    <t>Dominique Heintz</t>
  </si>
  <si>
    <t>Keven Schlotterbeck</t>
  </si>
  <si>
    <t>Lucas Höler</t>
  </si>
  <si>
    <t>Pavao Pervan (A)</t>
  </si>
  <si>
    <t>Yannick Gerhardt</t>
  </si>
  <si>
    <t>Jerome Roussillon (A)</t>
  </si>
  <si>
    <t>Köln - erzielte Tore</t>
  </si>
  <si>
    <t>Köln - Gegentore</t>
  </si>
  <si>
    <t>Köln</t>
  </si>
  <si>
    <t>1.FC Union Berlin</t>
  </si>
  <si>
    <t>Union Berlin</t>
  </si>
  <si>
    <t>Union Berlin - erzielte Tore</t>
  </si>
  <si>
    <t>Union Berlin - Gegentore</t>
  </si>
  <si>
    <t>1.FC Köln</t>
  </si>
  <si>
    <t>Alphonso Davies (A)</t>
  </si>
  <si>
    <t>Mateu Morey (A)</t>
  </si>
  <si>
    <t>Amadou Haidara (A)</t>
  </si>
  <si>
    <t>Niklas Lomb</t>
  </si>
  <si>
    <t>Stefan Lainer (A)</t>
  </si>
  <si>
    <t>Niklas Klinger</t>
  </si>
  <si>
    <t>Felix Uduokhai</t>
  </si>
  <si>
    <t>Xaver Schlager (A)</t>
  </si>
  <si>
    <t>Kevin Trapp</t>
  </si>
  <si>
    <t>Philipp Pentke</t>
  </si>
  <si>
    <t>Ihlas Bebou (A)</t>
  </si>
  <si>
    <t>Robert Skov (A)</t>
  </si>
  <si>
    <t>Finn Dahmen</t>
  </si>
  <si>
    <t>Ridle Baku</t>
  </si>
  <si>
    <t>Jonathan Burkardt</t>
  </si>
  <si>
    <t>Nico Schlotterbeck</t>
  </si>
  <si>
    <t>Roland Sallai (A)</t>
  </si>
  <si>
    <t>Iago (A)</t>
  </si>
  <si>
    <t>Reece Oxford (A)</t>
  </si>
  <si>
    <t>Ruben Vargas (A)</t>
  </si>
  <si>
    <t>Benno Schmitz</t>
  </si>
  <si>
    <t>Sebastiaan Bornauw (A)</t>
  </si>
  <si>
    <t>Ellyes Skhiri (A)</t>
  </si>
  <si>
    <t>Luca Kilian</t>
  </si>
  <si>
    <t>Jakob Busk (A)</t>
  </si>
  <si>
    <t>Marvin Friedrich</t>
  </si>
  <si>
    <t>Christopher Lenz</t>
  </si>
  <si>
    <t>Christopher Trimmel (A)</t>
  </si>
  <si>
    <t>Julian Ryerson (A)</t>
  </si>
  <si>
    <t>Grischa Prömel</t>
  </si>
  <si>
    <t>Robert Andrich</t>
  </si>
  <si>
    <t>Ramy Bensebaini (A)</t>
  </si>
  <si>
    <t>Exequiel Palacios (A)</t>
  </si>
  <si>
    <t>Jan Thielmann</t>
  </si>
  <si>
    <t>Dani Olmo (A)</t>
  </si>
  <si>
    <t>Emre Can</t>
  </si>
  <si>
    <t>Edmond Tapsoba (A)</t>
  </si>
  <si>
    <t>Leandro Barreiro (A)</t>
  </si>
  <si>
    <t>Florian Wirtz</t>
  </si>
  <si>
    <t>Jessic Ngankam</t>
  </si>
  <si>
    <t>Yannik Keitel</t>
  </si>
  <si>
    <t>Luca Netz</t>
  </si>
  <si>
    <t>Stuttgart</t>
  </si>
  <si>
    <t>VfB Stuttgart</t>
  </si>
  <si>
    <t>Stuttgart - erzielte Tore</t>
  </si>
  <si>
    <t>Stuttgart - Gegentore</t>
  </si>
  <si>
    <t>Benjamin Henrichs</t>
  </si>
  <si>
    <t>Jan Olschowsky</t>
  </si>
  <si>
    <t>Luca Philipp</t>
  </si>
  <si>
    <t>Maxence Lacroix (A)</t>
  </si>
  <si>
    <t>Benjamin Uphoff</t>
  </si>
  <si>
    <t>Tuta (A)</t>
  </si>
  <si>
    <t>Lucas Tousart (A)</t>
  </si>
  <si>
    <t>Robert Gumny (A)</t>
  </si>
  <si>
    <t>Michael Gregoritsch (A)</t>
  </si>
  <si>
    <t>Amos Pieper</t>
  </si>
  <si>
    <t>Gregor Kobel (A)</t>
  </si>
  <si>
    <t>Jens Grahl</t>
  </si>
  <si>
    <t>Fabian Bredlow</t>
  </si>
  <si>
    <t>Waldemar Anton</t>
  </si>
  <si>
    <t>Pascal Stenzel</t>
  </si>
  <si>
    <t>Atakan Karazor</t>
  </si>
  <si>
    <t>Philipp Förster</t>
  </si>
  <si>
    <t>Lilian Egloff</t>
  </si>
  <si>
    <t>Marius Wolf</t>
  </si>
  <si>
    <t>Patrick Schick (A)</t>
  </si>
  <si>
    <t>Jamal Musiala</t>
  </si>
  <si>
    <t>Bouna Sarr (A)</t>
  </si>
  <si>
    <t>Eric-Maxim Choupo-Moting</t>
  </si>
  <si>
    <t>Maximilian Philipp</t>
  </si>
  <si>
    <t>Kevin Stöger (A)</t>
  </si>
  <si>
    <t>Ansgar Knauff</t>
  </si>
  <si>
    <t>Steffen Tigges</t>
  </si>
  <si>
    <t>Joe Scally (A)</t>
  </si>
  <si>
    <t>Timothy Fosu-Mensah (A)</t>
  </si>
  <si>
    <t>Jeremie Frimpong (A)</t>
  </si>
  <si>
    <t>Kiliann Sildillia (A)</t>
  </si>
  <si>
    <t>VfL Bochum</t>
  </si>
  <si>
    <t>Bochum - erzielte Tore</t>
  </si>
  <si>
    <t>Bochum - Gegentore</t>
  </si>
  <si>
    <t>Sven Ulreich</t>
  </si>
  <si>
    <t>Mohamed Simakan (A)</t>
  </si>
  <si>
    <t>Soumalia Coulibaly (A)</t>
  </si>
  <si>
    <t>Abdoulaye Kamara (A)</t>
  </si>
  <si>
    <t xml:space="preserve">Youssoufa Moukoko </t>
  </si>
  <si>
    <t>Donyell Malen (A)</t>
  </si>
  <si>
    <t>Felix Nmecha</t>
  </si>
  <si>
    <t>Lukas Nmecha</t>
  </si>
  <si>
    <t>Odilou Kossounou (A)</t>
  </si>
  <si>
    <t>Kevin Behrens</t>
  </si>
  <si>
    <t>Genki Haraguchi (A)</t>
  </si>
  <si>
    <t>Paul Jaeckel</t>
  </si>
  <si>
    <t>Silas Katompa Mvumpa (A)</t>
  </si>
  <si>
    <t>Chris Führich</t>
  </si>
  <si>
    <t>Nikolas Nartey (A)</t>
  </si>
  <si>
    <t>Hikori Ito (A)</t>
  </si>
  <si>
    <t>Noah Atubolu</t>
  </si>
  <si>
    <t>Noah Weisshaupt</t>
  </si>
  <si>
    <t>Angelo Stiller</t>
  </si>
  <si>
    <t>Tom Bischof</t>
  </si>
  <si>
    <t>David Raum</t>
  </si>
  <si>
    <t>Nahuell Noll</t>
  </si>
  <si>
    <t>Lasse Riess</t>
  </si>
  <si>
    <t>Silvan Widmer (A)</t>
  </si>
  <si>
    <t>Anton Stach</t>
  </si>
  <si>
    <t>Jae-Sung Lee</t>
  </si>
  <si>
    <t>Arne Maier</t>
  </si>
  <si>
    <t>Niklas Dorsch</t>
  </si>
  <si>
    <t>Patrick Wimmer (A)</t>
  </si>
  <si>
    <t>Marvin Schwäbe</t>
  </si>
  <si>
    <t>Timo Hübers</t>
  </si>
  <si>
    <t>Salih Özcan</t>
  </si>
  <si>
    <t>Dejan Ljubicic (A)</t>
  </si>
  <si>
    <t>Mark Uth</t>
  </si>
  <si>
    <t>Takuma Asano (A)</t>
  </si>
  <si>
    <t>Patrick Osterhage</t>
  </si>
  <si>
    <t>Anthony Losilia (A)</t>
  </si>
  <si>
    <t>Christopher Antwi-Adjei</t>
  </si>
  <si>
    <t>Cristian Gamboa (A)</t>
  </si>
  <si>
    <t>Maxim Leitsch</t>
  </si>
  <si>
    <t>Manuel Riemann</t>
  </si>
  <si>
    <t>Michael Esser</t>
  </si>
  <si>
    <t>Maximilian Bauer</t>
  </si>
  <si>
    <t>Enzo Millot (A)</t>
  </si>
  <si>
    <t>Piero Hincapie (A)</t>
  </si>
  <si>
    <t>Maximilian Eggestein</t>
  </si>
  <si>
    <t>Amine Adli (A)</t>
  </si>
  <si>
    <t>Omar Marmoush (A)</t>
  </si>
  <si>
    <t>Florian Schock</t>
  </si>
  <si>
    <t>Mads Pedersen (A)</t>
  </si>
  <si>
    <t>Jeff Chabot</t>
  </si>
  <si>
    <t>Kevin Paredes (A)</t>
  </si>
  <si>
    <t>Jonas Wind (A)</t>
  </si>
  <si>
    <t>Bochum</t>
  </si>
  <si>
    <t>Eniss Shabani</t>
  </si>
  <si>
    <t>Marcel Lotka</t>
  </si>
  <si>
    <t>Bremen - erzielte Tore</t>
  </si>
  <si>
    <t>Bremen - Gegentore</t>
  </si>
  <si>
    <t>Bremen</t>
  </si>
  <si>
    <t>SV Werder Bremen</t>
  </si>
  <si>
    <t>Matthijs de Ligt (A)</t>
  </si>
  <si>
    <t>Noussair Mazraoui (A)</t>
  </si>
  <si>
    <t>Mathys Tel (A)</t>
  </si>
  <si>
    <t>Alexander Meyer</t>
  </si>
  <si>
    <t>Sebastien Haller (A)</t>
  </si>
  <si>
    <t>Karim Adeyemi</t>
  </si>
  <si>
    <t>Jamie Bynoe-Gittens (A)</t>
  </si>
  <si>
    <t>Nadiem Amiri</t>
  </si>
  <si>
    <t>Janis Blaswich</t>
  </si>
  <si>
    <t>Timo Schlieck</t>
  </si>
  <si>
    <t>Danilho Doekhi (A)</t>
  </si>
  <si>
    <t>Diogo Leite (A)</t>
  </si>
  <si>
    <t>Tim Skarke</t>
  </si>
  <si>
    <t>Jordan Siebatcheu (A)</t>
  </si>
  <si>
    <t>Daniel-Kofi Kyereh</t>
  </si>
  <si>
    <t>Eric Martel</t>
  </si>
  <si>
    <t>Linton Maina</t>
  </si>
  <si>
    <t>Sargis Adamyan (A)</t>
  </si>
  <si>
    <t>Florian Dietz</t>
  </si>
  <si>
    <t>Anthony Caci (A)</t>
  </si>
  <si>
    <t>Edimilson Fernandes (A)</t>
  </si>
  <si>
    <t>Ozan Kabak (A)</t>
  </si>
  <si>
    <t>Finn Ole Becker</t>
  </si>
  <si>
    <t>Ko Itakura (A)</t>
  </si>
  <si>
    <t>Mario Götze</t>
  </si>
  <si>
    <t>Mehdi Loune</t>
  </si>
  <si>
    <t>Faride Alidou</t>
  </si>
  <si>
    <t>Kilian Fischer</t>
  </si>
  <si>
    <t>Jakub Kaminski (A)</t>
  </si>
  <si>
    <t>Mattias Svanberg (A)</t>
  </si>
  <si>
    <t>Bartol Franjic (A)</t>
  </si>
  <si>
    <t>Ivan Ordets (A)</t>
  </si>
  <si>
    <t>Mohammed Tolba</t>
  </si>
  <si>
    <t>Philipp Hofmann</t>
  </si>
  <si>
    <t>Josha Vagnoman</t>
  </si>
  <si>
    <t>Tom Krauss</t>
  </si>
  <si>
    <t>Marius Bülter</t>
  </si>
  <si>
    <t>Jiri Pavlenka (A)</t>
  </si>
  <si>
    <t>Michael Zetterer</t>
  </si>
  <si>
    <t>Eduardo dos Santos Haesler</t>
  </si>
  <si>
    <t>Anthony Jung</t>
  </si>
  <si>
    <t>Mitchell Weiser</t>
  </si>
  <si>
    <t>Felix Agu</t>
  </si>
  <si>
    <t>Marco Friedl (A)</t>
  </si>
  <si>
    <t>Christian Gross</t>
  </si>
  <si>
    <t>Fabio Chiarodia</t>
  </si>
  <si>
    <t>Jens Stage (A)</t>
  </si>
  <si>
    <t>Leonardo Bittencourt</t>
  </si>
  <si>
    <t>Romano Schmid (A)</t>
  </si>
  <si>
    <t>Marvin Ducksch</t>
  </si>
  <si>
    <t>Niclas Füllkrug</t>
  </si>
  <si>
    <t>Stanley Nsoki (A)</t>
  </si>
  <si>
    <t>Merlin Röhl</t>
  </si>
  <si>
    <t>Eric Junior Dina Ebimbe (A)</t>
  </si>
  <si>
    <t>Nathan Ngoumou (A)</t>
  </si>
  <si>
    <t>Julian Weigl</t>
  </si>
  <si>
    <t>Sepp van den Berg (A)</t>
  </si>
  <si>
    <t>Dan-Axel Zagadou (A)</t>
  </si>
  <si>
    <t>Serhou Guirassy (A)</t>
  </si>
  <si>
    <t>Antonis Papadopoulos</t>
  </si>
  <si>
    <t>Nelson Weiper</t>
  </si>
  <si>
    <t>Laurin Ulrich</t>
  </si>
  <si>
    <t>Silas Ostrzinski</t>
  </si>
  <si>
    <t>Kenneth Schmidt</t>
  </si>
  <si>
    <t>Arne Engels (A)</t>
  </si>
  <si>
    <t>Noah Mbamba (A)</t>
  </si>
  <si>
    <t>Jonas Omlin (A)</t>
  </si>
  <si>
    <t>Moritz Broschinski</t>
  </si>
  <si>
    <t>Julien Duranville (A)</t>
  </si>
  <si>
    <t>Aissa Laidouni (A)</t>
  </si>
  <si>
    <t>Ludovic Ajorque (A)</t>
  </si>
  <si>
    <t>Vincenzo Grifo</t>
  </si>
  <si>
    <t>Brajan Gruda</t>
  </si>
  <si>
    <t>John Anthony Brooks</t>
  </si>
  <si>
    <t>Umut Tohumcu</t>
  </si>
  <si>
    <t>Philipp Max</t>
  </si>
  <si>
    <t>Josip Juranovic (A)</t>
  </si>
  <si>
    <t>Andreas Hanche-Olsen (A)</t>
  </si>
  <si>
    <t>Darmstadt - erzielte Tore</t>
  </si>
  <si>
    <t>Darmstadt - Gegentore</t>
  </si>
  <si>
    <t>Heidenheim - erzielte Tore</t>
  </si>
  <si>
    <t>Heidenheim - Gegentore</t>
  </si>
  <si>
    <t>1.FC Heidenheim</t>
  </si>
  <si>
    <t>SV Darmstadt 98</t>
  </si>
  <si>
    <t>Spieler 10</t>
  </si>
  <si>
    <t>Spieler 11</t>
  </si>
  <si>
    <t>Spieler 12</t>
  </si>
  <si>
    <t>Min-Jae Kim (A)</t>
  </si>
  <si>
    <t>Tarek Buchmann</t>
  </si>
  <si>
    <t>Marcel Sabitzer (A)</t>
  </si>
  <si>
    <t>Ole Pohlmann</t>
  </si>
  <si>
    <t>Leopold Zingerle</t>
  </si>
  <si>
    <t>El Chadaille Bitshiabu (A)</t>
  </si>
  <si>
    <t>Nicolas Seiwald (A)</t>
  </si>
  <si>
    <t>Xavi Simons (A)</t>
  </si>
  <si>
    <t>Yannic Stein</t>
  </si>
  <si>
    <t>Brendon Aaronson (A)</t>
  </si>
  <si>
    <t>Mikkel Kaufmann (A)</t>
  </si>
  <si>
    <t>Benedict Hollerbach</t>
  </si>
  <si>
    <t>Jordy Makengo (A)</t>
  </si>
  <si>
    <t>Max Rosenfelder</t>
  </si>
  <si>
    <t>Junior Adamu (A)</t>
  </si>
  <si>
    <t>Arthur (A)</t>
  </si>
  <si>
    <t>Madi Monamay (A)</t>
  </si>
  <si>
    <t>Gustavo Puerta (A)</t>
  </si>
  <si>
    <t>Granit Xhaka (A)</t>
  </si>
  <si>
    <t>Ayman Aourir</t>
  </si>
  <si>
    <t>Victor Boniface (A)</t>
  </si>
  <si>
    <t>Simon Simoni (A)</t>
  </si>
  <si>
    <t>Willian Pacho (A)</t>
  </si>
  <si>
    <t>Robin Koch</t>
  </si>
  <si>
    <t>Dario Gebuhr</t>
  </si>
  <si>
    <t>Elias Baum</t>
  </si>
  <si>
    <t>Hugo Larsson (A)</t>
  </si>
  <si>
    <t>Davis Bautista (A)</t>
  </si>
  <si>
    <t>Harpreet Ghotra</t>
  </si>
  <si>
    <t>Noel Futkeu</t>
  </si>
  <si>
    <t>Moritz Jenz (A)</t>
  </si>
  <si>
    <t>Aster Vranckx (A)</t>
  </si>
  <si>
    <t>Daniel Batz</t>
  </si>
  <si>
    <t>Moritz Nicolas</t>
  </si>
  <si>
    <t>Max Brüll</t>
  </si>
  <si>
    <t>Lukas Ullrich</t>
  </si>
  <si>
    <t>Maximilian Wöber (A)</t>
  </si>
  <si>
    <t>Simon Walde</t>
  </si>
  <si>
    <t>Franck Honorat (A)</t>
  </si>
  <si>
    <t>Robin Hack</t>
  </si>
  <si>
    <t>Rocco Reitz</t>
  </si>
  <si>
    <t>Grant-Leon Ranos</t>
  </si>
  <si>
    <t>Jonas Nickisch</t>
  </si>
  <si>
    <t>Matthias Köbbing</t>
  </si>
  <si>
    <t>Leart Paqarada</t>
  </si>
  <si>
    <t>Rasmus Carstensen (A)</t>
  </si>
  <si>
    <t>Elias Bakatukanda</t>
  </si>
  <si>
    <t>Jacob Christensen (A)</t>
  </si>
  <si>
    <t>Luca Waldschmidt</t>
  </si>
  <si>
    <t>Kasim Adams (A)</t>
  </si>
  <si>
    <t>Attila Szalai (A)</t>
  </si>
  <si>
    <t>Florian Grillitsch (A)</t>
  </si>
  <si>
    <t>Julian Justvan</t>
  </si>
  <si>
    <t>Marco John</t>
  </si>
  <si>
    <t>Wout Weghorst (A)</t>
  </si>
  <si>
    <t>Maximilian Beier</t>
  </si>
  <si>
    <t>Senne Lynen (A)</t>
  </si>
  <si>
    <t>Naby Keita (A)</t>
  </si>
  <si>
    <t>Dawid Kownacki (A)</t>
  </si>
  <si>
    <t>Justin Njinmah</t>
  </si>
  <si>
    <t>Nick Woltemade</t>
  </si>
  <si>
    <t>Nicklas Thiede</t>
  </si>
  <si>
    <t>Noah Loosli (A)</t>
  </si>
  <si>
    <t>Bernardo (A)</t>
  </si>
  <si>
    <t>Felix Passlack</t>
  </si>
  <si>
    <t>Lukas Daschner</t>
  </si>
  <si>
    <t>Moritz Kwarteng</t>
  </si>
  <si>
    <t>Marcel Lubik (A)</t>
  </si>
  <si>
    <t>Patric Pfeiffer</t>
  </si>
  <si>
    <t>Raphael Framberger</t>
  </si>
  <si>
    <t>Masaya Okugawa (A)</t>
  </si>
  <si>
    <t>Tim Breithaupt</t>
  </si>
  <si>
    <t>Mert Kömür</t>
  </si>
  <si>
    <t>Dion Beljo (A)</t>
  </si>
  <si>
    <t>Sven Michel</t>
  </si>
  <si>
    <t>Phillip Tietz</t>
  </si>
  <si>
    <t>Alexander Nübel</t>
  </si>
  <si>
    <t>Dennis Seimen</t>
  </si>
  <si>
    <t>Wooyeong Jeong (A)</t>
  </si>
  <si>
    <t>Roberto Massimo</t>
  </si>
  <si>
    <t>Jamie Leweling</t>
  </si>
  <si>
    <t>Deniz Undav</t>
  </si>
  <si>
    <t>Kevin Müller</t>
  </si>
  <si>
    <t>Vitus Eicher</t>
  </si>
  <si>
    <t>Paul Tschernuth (A)</t>
  </si>
  <si>
    <t>Frank Feller</t>
  </si>
  <si>
    <t>Marnon Busch</t>
  </si>
  <si>
    <t>Tim Siersleben</t>
  </si>
  <si>
    <t>Patrick Mainka</t>
  </si>
  <si>
    <t>Jonas Föhrenbach</t>
  </si>
  <si>
    <t>Thomas Keller</t>
  </si>
  <si>
    <t>Seedy Jarju</t>
  </si>
  <si>
    <t>Norman Theuerkauf</t>
  </si>
  <si>
    <t>Jan Schöppner</t>
  </si>
  <si>
    <t>Benedikt Gimber</t>
  </si>
  <si>
    <t>Denis Thomalla</t>
  </si>
  <si>
    <t>Kevin Sessa</t>
  </si>
  <si>
    <t>Florian Pick</t>
  </si>
  <si>
    <t>Adrian Beck</t>
  </si>
  <si>
    <t>Lennard Maloney</t>
  </si>
  <si>
    <t>Jan-Niklas Beste</t>
  </si>
  <si>
    <t>Stefan Schimmer</t>
  </si>
  <si>
    <t>Tim Kleindienst</t>
  </si>
  <si>
    <t>Marvin Pieringer</t>
  </si>
  <si>
    <t>Nikola Dovedan (A)</t>
  </si>
  <si>
    <t>Christian Kühlwetter</t>
  </si>
  <si>
    <t>Elidon Qenaj</t>
  </si>
  <si>
    <t>Marcel Schuhen</t>
  </si>
  <si>
    <t>Morten Behrens</t>
  </si>
  <si>
    <t>Alexander Brunst</t>
  </si>
  <si>
    <t>Max Wendt</t>
  </si>
  <si>
    <t>Thomas Isherwood (A)</t>
  </si>
  <si>
    <t>Christoph Zimmermann</t>
  </si>
  <si>
    <t>Matej Maglica (A)</t>
  </si>
  <si>
    <t>Christoph Klarer (A)</t>
  </si>
  <si>
    <t>Emir Karic (A)</t>
  </si>
  <si>
    <t>Jannik Müller</t>
  </si>
  <si>
    <t>Matthias Bader</t>
  </si>
  <si>
    <t>Fabian Holland</t>
  </si>
  <si>
    <t>Clemens Riedel</t>
  </si>
  <si>
    <t>Marvin Mehlem</t>
  </si>
  <si>
    <t>Braydon Manu (A)</t>
  </si>
  <si>
    <t>Fabian Schnellhardt</t>
  </si>
  <si>
    <t>Tobias Kempe</t>
  </si>
  <si>
    <t>Fabian Nürnberger</t>
  </si>
  <si>
    <t>Andreas Müller</t>
  </si>
  <si>
    <t>Mathias Honsak (A)</t>
  </si>
  <si>
    <t>Klaus Gjasula (A)</t>
  </si>
  <si>
    <t>Fraser Hornby (A)</t>
  </si>
  <si>
    <t>Aaron Seydel</t>
  </si>
  <si>
    <t>Oscar Vilhelmsson (A)</t>
  </si>
  <si>
    <t>Fabio Torsiello</t>
  </si>
  <si>
    <t>Harry Kane (A)</t>
  </si>
  <si>
    <t>Castello Lukeba (A)</t>
  </si>
  <si>
    <t>Joakim Maehle (A)</t>
  </si>
  <si>
    <t>Samuel Bamba</t>
  </si>
  <si>
    <t>David Mamutovic</t>
  </si>
  <si>
    <t>Leon Opitz</t>
  </si>
  <si>
    <t>Danilo Soares (A)</t>
  </si>
  <si>
    <t>Moritz Römling</t>
  </si>
  <si>
    <t>Mika Baur</t>
  </si>
  <si>
    <t>Maximilian Breunig</t>
  </si>
  <si>
    <t>Max Finkgräfe</t>
  </si>
  <si>
    <t>Tim Oermann</t>
  </si>
  <si>
    <t>Maximilian Wittek</t>
  </si>
  <si>
    <t>Robin Gosens</t>
  </si>
  <si>
    <t>Lovro Majer (A)</t>
  </si>
  <si>
    <t>Kevin Volland</t>
  </si>
  <si>
    <t>Luca Pfeiffer</t>
  </si>
  <si>
    <t>Reno Münz</t>
  </si>
  <si>
    <t>Aleksandar Pavlovic</t>
  </si>
  <si>
    <t>Nacho Ferri (A)</t>
  </si>
  <si>
    <t>Merveille Papela</t>
  </si>
  <si>
    <t>Marco Richter</t>
  </si>
  <si>
    <t>Leonidas Stergiou (A)</t>
  </si>
  <si>
    <t>Leroy Sané</t>
  </si>
  <si>
    <t>Loїs Openda (A)</t>
  </si>
  <si>
    <t>Péter Gulácsi (A)</t>
  </si>
  <si>
    <t>Benjamin Šeško (A)</t>
  </si>
  <si>
    <t>Frederik Rønnow (A)</t>
  </si>
  <si>
    <t>András Schäfer (A)</t>
  </si>
  <si>
    <t>Alex Král (A)</t>
  </si>
  <si>
    <t>Ritsu Dōan (A)</t>
  </si>
  <si>
    <t>Lukáš Hrádecký (A)</t>
  </si>
  <si>
    <t>Matěj Kovář (A)</t>
  </si>
  <si>
    <t>Josip Stanišić</t>
  </si>
  <si>
    <t>Adam Hložek (A)</t>
  </si>
  <si>
    <t>Hrvoje Smolčić (A)</t>
  </si>
  <si>
    <t>Rafael Borré (A)</t>
  </si>
  <si>
    <t>Kristijan Jakić (A)</t>
  </si>
  <si>
    <t>Aurélio Buta (A)</t>
  </si>
  <si>
    <t>Dženan Pejčinović</t>
  </si>
  <si>
    <t>Tiago Tomás (A)</t>
  </si>
  <si>
    <t>Václav Černý (A)</t>
  </si>
  <si>
    <t>Rogério (A)</t>
  </si>
  <si>
    <t>Cédric Zesiger (A)</t>
  </si>
  <si>
    <t>Tomáš Čvančara (A)</t>
  </si>
  <si>
    <t>Manu Koné (A)</t>
  </si>
  <si>
    <t>Denis Huseinbašić</t>
  </si>
  <si>
    <t>Andrej Kramarić (A)</t>
  </si>
  <si>
    <t>Omar Haktab Traoré</t>
  </si>
  <si>
    <t>Eren Sami Dinkçi</t>
  </si>
  <si>
    <t>Luka Janeš</t>
  </si>
  <si>
    <t>Jovan Milošević (A)</t>
  </si>
  <si>
    <t>Tomáš Koubek (A)</t>
  </si>
  <si>
    <t>Ermedin Demirović (A)</t>
  </si>
  <si>
    <t>Erhan Mašović (A)</t>
  </si>
  <si>
    <t>Matúš Bero (A)</t>
  </si>
  <si>
    <t>Miloš Veljković (A)</t>
  </si>
  <si>
    <t>Philipp Mwene (A)</t>
  </si>
  <si>
    <t>Daniel Peretz</t>
  </si>
  <si>
    <t>Nathan Tella (A)</t>
  </si>
  <si>
    <t>Farès Chaibi (A)</t>
  </si>
  <si>
    <t>Kauã Santos (A)</t>
  </si>
  <si>
    <t>Mërgim Berisha</t>
  </si>
  <si>
    <t>Luke Grauer</t>
  </si>
  <si>
    <t>Niels Nkounkou (A)</t>
  </si>
  <si>
    <t>Nnamdi Collins</t>
  </si>
  <si>
    <t>Sidney Raebiger</t>
  </si>
  <si>
    <t>Amin Sarr (A)</t>
  </si>
  <si>
    <t>Bambasé Conté</t>
  </si>
  <si>
    <t>Olivier Deman (A)</t>
  </si>
  <si>
    <t>Gonçalo Paciênca (A)</t>
  </si>
  <si>
    <t>Kevin Mbabu (A)</t>
  </si>
  <si>
    <t>Anthony Rouault (A)</t>
  </si>
  <si>
    <t>Anwar El Ghazi (A)</t>
  </si>
  <si>
    <t>Luca Raimund</t>
  </si>
  <si>
    <t>Damian Downs</t>
  </si>
  <si>
    <t>Fabian Rüdlin</t>
  </si>
  <si>
    <t>Heidenheim</t>
  </si>
  <si>
    <t>Darmstadt</t>
  </si>
  <si>
    <t>Max Schmitt</t>
  </si>
  <si>
    <t>Luca Denk</t>
  </si>
  <si>
    <t>Lovro Zvonarek (A)</t>
  </si>
  <si>
    <t>Noel Aeko Nkili</t>
  </si>
  <si>
    <t>Guille Bueno (A)</t>
  </si>
  <si>
    <t>Paris Brunner</t>
  </si>
  <si>
    <t>Tim Köhler</t>
  </si>
  <si>
    <t>Oluwaseun Ogdemudia</t>
  </si>
  <si>
    <t>Niklas Sauter</t>
  </si>
  <si>
    <t>Jaaso Jantunen (A)</t>
  </si>
  <si>
    <t>Ryan Johansson (A)</t>
  </si>
  <si>
    <t>Nils Ramming</t>
  </si>
  <si>
    <t>Kofi Amoako</t>
  </si>
  <si>
    <t>Lasse Wilhelm</t>
  </si>
  <si>
    <t>Marcel Müller</t>
  </si>
  <si>
    <t>Spyros Angelidis (A)</t>
  </si>
  <si>
    <t>Cimo Röcker</t>
  </si>
  <si>
    <t>Samuele Di Benedetto</t>
  </si>
  <si>
    <t>Eljif Elmans (A)</t>
  </si>
  <si>
    <t>Donny van de Beek (A)</t>
  </si>
  <si>
    <t>Saša Kalajdžić (A)</t>
  </si>
  <si>
    <t>Ritzy Hülsmann</t>
  </si>
  <si>
    <t>Eric Dier (A)</t>
  </si>
  <si>
    <t>Ian Maatsen (A)</t>
  </si>
  <si>
    <t>Jadon Sancho (A)</t>
  </si>
  <si>
    <t>Yannick Eduardo (A)</t>
  </si>
  <si>
    <t>Francis Onyeka</t>
  </si>
  <si>
    <t>Justin Diehl</t>
  </si>
  <si>
    <t>Moussa Cissé (A)</t>
  </si>
  <si>
    <t>Raul Paula</t>
  </si>
  <si>
    <t>Gerrit Holtmann</t>
  </si>
  <si>
    <t>Julián Malatini (A)</t>
  </si>
  <si>
    <t>Shio Fukuda (A)</t>
  </si>
  <si>
    <t>Chris Bedia (A)</t>
  </si>
  <si>
    <t>David Jurasek (A)</t>
  </si>
  <si>
    <t>Alejandro Grimaldo (A)</t>
  </si>
  <si>
    <t>Florent Muslija</t>
  </si>
  <si>
    <t>Meiko Wäschenbach</t>
  </si>
  <si>
    <t>Sacha Boey (A)</t>
  </si>
  <si>
    <t>Adam Aznou (A)</t>
  </si>
  <si>
    <t>Nuha Jatta</t>
  </si>
  <si>
    <t>Borja Iglesias (A)</t>
  </si>
  <si>
    <t>Jean-Matteo Bahoya (A)</t>
  </si>
  <si>
    <t>Andreas Luthe</t>
  </si>
  <si>
    <t>Bryan Zaragoza (A)</t>
  </si>
  <si>
    <t>Kjell Wätjen</t>
  </si>
  <si>
    <t>Yorbe Vertessen (A)</t>
  </si>
  <si>
    <t>Hugo Ekitike (A)</t>
  </si>
  <si>
    <t>Isak Hansen-Aarøen (A)</t>
  </si>
  <si>
    <t>Skelly Alvero (A)</t>
  </si>
  <si>
    <t>Agon Elezi (A)</t>
  </si>
  <si>
    <t>Pep Biel (A)</t>
  </si>
  <si>
    <t>Mahmoud Dahoud</t>
  </si>
  <si>
    <t>Sebastian Polter</t>
  </si>
  <si>
    <t>Wechsel Kane - Reus ging nicht, da</t>
  </si>
  <si>
    <t>falsche Position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</si>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</sst>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0&quot;:&quot;"/>
    <numFmt numFmtId="166" formatCode="0&quot;. Spieltag&quot;"/>
    <numFmt numFmtId="167" formatCode="0\ &quot;Tore&quot;"/>
    <numFmt numFmtId="168" formatCode="_-* #,##0.00\ [$€]_-;\-* #,##0.00\ [$€]_-;_-* &quot;-&quot;??\ [$€]_-;_-@_-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color indexed="10"/>
      <name val="Tahoma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Tahoma"/>
      <family val="2"/>
    </font>
    <font>
      <sz val="8"/>
      <name val="Arial Narrow"/>
      <family val="2"/>
    </font>
    <font>
      <b/>
      <sz val="11"/>
      <name val="Arial Narrow"/>
      <family val="2"/>
    </font>
    <font>
      <sz val="8"/>
      <color indexed="22"/>
      <name val="Arial Narrow"/>
      <family val="2"/>
    </font>
    <font>
      <b/>
      <sz val="8"/>
      <name val="Arial Narrow"/>
      <family val="2"/>
    </font>
    <font>
      <b/>
      <sz val="8"/>
      <color indexed="61"/>
      <name val="Arial Narrow"/>
      <family val="2"/>
    </font>
    <font>
      <b/>
      <sz val="9"/>
      <name val="Arial Narrow"/>
      <family val="2"/>
    </font>
    <font>
      <b/>
      <sz val="9"/>
      <color indexed="12"/>
      <name val="Arial Narrow"/>
      <family val="2"/>
    </font>
    <font>
      <sz val="9"/>
      <name val="Arial Narrow"/>
      <family val="2"/>
    </font>
    <font>
      <sz val="9"/>
      <color indexed="10"/>
      <name val="Arial Narrow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color indexed="10"/>
      <name val="Arial Narrow"/>
      <family val="2"/>
    </font>
    <font>
      <sz val="8"/>
      <color indexed="9"/>
      <name val="Arial Narrow"/>
      <family val="2"/>
    </font>
    <font>
      <sz val="8"/>
      <color indexed="10"/>
      <name val="Arial Narrow"/>
      <family val="2"/>
    </font>
    <font>
      <b/>
      <sz val="7"/>
      <color indexed="10"/>
      <name val="Arial Narrow"/>
      <family val="2"/>
    </font>
    <font>
      <sz val="7"/>
      <color indexed="10"/>
      <name val="Arial Narrow"/>
      <family val="2"/>
    </font>
    <font>
      <b/>
      <sz val="7"/>
      <name val="Arial Narrow"/>
      <family val="2"/>
    </font>
    <font>
      <b/>
      <sz val="8"/>
      <color indexed="9"/>
      <name val="Arial Narrow"/>
      <family val="2"/>
    </font>
    <font>
      <b/>
      <sz val="8"/>
      <color indexed="10"/>
      <name val="Arial Narrow"/>
      <family val="2"/>
    </font>
    <font>
      <b/>
      <sz val="12"/>
      <color indexed="10"/>
      <name val="Arial Narrow"/>
      <family val="2"/>
    </font>
    <font>
      <sz val="12"/>
      <color indexed="10"/>
      <name val="Arial Narrow"/>
      <family val="2"/>
    </font>
    <font>
      <sz val="10"/>
      <name val="Arial Narrow"/>
      <family val="2"/>
    </font>
    <font>
      <b/>
      <sz val="8"/>
      <name val="Calibri"/>
      <family val="2"/>
      <scheme val="minor"/>
    </font>
    <font>
      <sz val="9"/>
      <color rgb="FFFF0000"/>
      <name val="Arial Narrow"/>
      <family val="2"/>
    </font>
    <font>
      <b/>
      <sz val="11"/>
      <color indexed="10"/>
      <name val="Arial Narrow"/>
      <family val="2"/>
    </font>
    <font>
      <sz val="11"/>
      <name val="Arial Narrow"/>
      <family val="2"/>
    </font>
    <font>
      <sz val="9"/>
      <color theme="9"/>
      <name val="Arial Narrow"/>
      <family val="2"/>
    </font>
    <font>
      <b/>
      <sz val="9"/>
      <color theme="9"/>
      <name val="Arial Narrow"/>
      <family val="2"/>
    </font>
    <font>
      <b/>
      <sz val="9"/>
      <color theme="1"/>
      <name val="Arial Narrow"/>
      <family val="2"/>
    </font>
    <font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sz val="9"/>
      <color theme="0"/>
      <name val="Arial Narrow"/>
      <family val="2"/>
    </font>
    <font>
      <sz val="10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lightTrellis">
        <fgColor indexed="22"/>
        <bgColor indexed="9"/>
      </patternFill>
    </fill>
  </fills>
  <borders count="8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12">
    <xf numFmtId="0" fontId="0" fillId="0" borderId="0"/>
    <xf numFmtId="168" fontId="4" fillId="0" borderId="0" applyFont="0" applyFill="0" applyBorder="0" applyAlignment="0" applyProtection="0"/>
    <xf numFmtId="0" fontId="9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1">
    <xf numFmtId="0" fontId="0" fillId="0" borderId="0" xfId="0"/>
    <xf numFmtId="0" fontId="6" fillId="0" borderId="17" xfId="0" applyFont="1" applyBorder="1"/>
    <xf numFmtId="0" fontId="6" fillId="0" borderId="10" xfId="0" applyFont="1" applyBorder="1"/>
    <xf numFmtId="165" fontId="6" fillId="2" borderId="18" xfId="0" applyNumberFormat="1" applyFont="1" applyFill="1" applyBorder="1" applyAlignment="1" applyProtection="1">
      <alignment horizontal="right"/>
      <protection locked="0"/>
    </xf>
    <xf numFmtId="0" fontId="6" fillId="2" borderId="19" xfId="0" applyFont="1" applyFill="1" applyBorder="1" applyAlignment="1" applyProtection="1">
      <alignment horizontal="center"/>
      <protection locked="0"/>
    </xf>
    <xf numFmtId="0" fontId="7" fillId="0" borderId="0" xfId="0" applyFont="1"/>
    <xf numFmtId="0" fontId="8" fillId="0" borderId="0" xfId="0" applyFont="1"/>
    <xf numFmtId="0" fontId="8" fillId="0" borderId="20" xfId="0" applyFont="1" applyBorder="1"/>
    <xf numFmtId="0" fontId="5" fillId="0" borderId="0" xfId="0" applyFont="1"/>
    <xf numFmtId="0" fontId="10" fillId="0" borderId="39" xfId="0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15" fillId="7" borderId="63" xfId="0" applyFont="1" applyFill="1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center" vertical="center"/>
      <protection hidden="1"/>
    </xf>
    <xf numFmtId="0" fontId="17" fillId="0" borderId="65" xfId="0" applyFont="1" applyBorder="1" applyAlignment="1" applyProtection="1">
      <alignment horizontal="center" vertical="center"/>
      <protection hidden="1"/>
    </xf>
    <xf numFmtId="0" fontId="15" fillId="0" borderId="66" xfId="0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82" xfId="0" applyFont="1" applyBorder="1" applyAlignment="1">
      <alignment vertical="center" shrinkToFit="1"/>
    </xf>
    <xf numFmtId="0" fontId="18" fillId="0" borderId="0" xfId="0" applyFont="1" applyAlignment="1">
      <alignment horizontal="center" vertical="center" shrinkToFit="1"/>
    </xf>
    <xf numFmtId="0" fontId="19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7" fillId="0" borderId="28" xfId="0" applyFont="1" applyBorder="1" applyAlignment="1" applyProtection="1">
      <alignment vertical="center"/>
      <protection hidden="1"/>
    </xf>
    <xf numFmtId="1" fontId="27" fillId="0" borderId="2" xfId="0" applyNumberFormat="1" applyFont="1" applyBorder="1" applyAlignment="1" applyProtection="1">
      <alignment horizontal="left" vertical="center"/>
      <protection hidden="1"/>
    </xf>
    <xf numFmtId="0" fontId="28" fillId="0" borderId="29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0" fillId="0" borderId="30" xfId="0" applyFont="1" applyBorder="1" applyAlignment="1" applyProtection="1">
      <alignment vertical="center"/>
      <protection hidden="1"/>
    </xf>
    <xf numFmtId="0" fontId="13" fillId="0" borderId="31" xfId="0" applyFont="1" applyBorder="1" applyAlignment="1" applyProtection="1">
      <alignment horizontal="center" vertical="center"/>
      <protection hidden="1"/>
    </xf>
    <xf numFmtId="0" fontId="13" fillId="5" borderId="14" xfId="0" applyFont="1" applyFill="1" applyBorder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vertical="center" shrinkToFit="1"/>
      <protection hidden="1"/>
    </xf>
    <xf numFmtId="0" fontId="13" fillId="3" borderId="16" xfId="0" applyFont="1" applyFill="1" applyBorder="1" applyAlignment="1" applyProtection="1">
      <alignment vertical="center"/>
      <protection hidden="1"/>
    </xf>
    <xf numFmtId="0" fontId="10" fillId="3" borderId="14" xfId="0" applyFont="1" applyFill="1" applyBorder="1" applyAlignment="1" applyProtection="1">
      <alignment vertical="center"/>
      <protection hidden="1"/>
    </xf>
    <xf numFmtId="0" fontId="24" fillId="0" borderId="0" xfId="0" applyFont="1" applyAlignment="1" applyProtection="1">
      <alignment vertical="center" shrinkToFit="1"/>
      <protection hidden="1"/>
    </xf>
    <xf numFmtId="0" fontId="13" fillId="2" borderId="14" xfId="0" applyFont="1" applyFill="1" applyBorder="1" applyAlignment="1" applyProtection="1">
      <alignment vertical="center"/>
      <protection hidden="1"/>
    </xf>
    <xf numFmtId="0" fontId="10" fillId="2" borderId="14" xfId="0" applyFont="1" applyFill="1" applyBorder="1" applyAlignment="1" applyProtection="1">
      <alignment vertical="center"/>
      <protection hidden="1"/>
    </xf>
    <xf numFmtId="0" fontId="13" fillId="4" borderId="14" xfId="0" applyFont="1" applyFill="1" applyBorder="1" applyAlignment="1" applyProtection="1">
      <alignment vertical="center"/>
      <protection hidden="1"/>
    </xf>
    <xf numFmtId="0" fontId="10" fillId="4" borderId="14" xfId="0" applyFont="1" applyFill="1" applyBorder="1" applyAlignment="1" applyProtection="1">
      <alignment vertical="center"/>
      <protection hidden="1"/>
    </xf>
    <xf numFmtId="0" fontId="13" fillId="0" borderId="22" xfId="0" applyFont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13" fillId="0" borderId="21" xfId="0" applyFont="1" applyBorder="1" applyAlignment="1" applyProtection="1">
      <alignment horizontal="center" vertical="center"/>
      <protection hidden="1"/>
    </xf>
    <xf numFmtId="0" fontId="17" fillId="0" borderId="0" xfId="0" applyFont="1" applyAlignment="1">
      <alignment vertical="center" shrinkToFit="1"/>
    </xf>
    <xf numFmtId="165" fontId="17" fillId="0" borderId="0" xfId="0" applyNumberFormat="1" applyFont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vertical="center" shrinkToFit="1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0" xfId="0" applyFont="1" applyBorder="1" applyAlignment="1">
      <alignment horizontal="left" vertical="center" shrinkToFit="1"/>
    </xf>
    <xf numFmtId="0" fontId="17" fillId="0" borderId="54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20" xfId="0" applyFont="1" applyBorder="1" applyAlignment="1" applyProtection="1">
      <alignment vertical="center"/>
      <protection hidden="1"/>
    </xf>
    <xf numFmtId="0" fontId="13" fillId="0" borderId="20" xfId="0" applyFont="1" applyBorder="1" applyAlignment="1" applyProtection="1">
      <alignment vertical="center"/>
      <protection hidden="1"/>
    </xf>
    <xf numFmtId="0" fontId="10" fillId="0" borderId="23" xfId="0" applyFont="1" applyBorder="1" applyAlignment="1" applyProtection="1">
      <alignment horizontal="left" vertical="center"/>
      <protection hidden="1"/>
    </xf>
    <xf numFmtId="0" fontId="10" fillId="0" borderId="11" xfId="0" applyFont="1" applyBorder="1" applyAlignment="1" applyProtection="1">
      <alignment horizontal="right" vertical="center"/>
      <protection hidden="1"/>
    </xf>
    <xf numFmtId="0" fontId="13" fillId="0" borderId="24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vertical="center"/>
      <protection hidden="1"/>
    </xf>
    <xf numFmtId="0" fontId="10" fillId="0" borderId="13" xfId="0" applyFont="1" applyBorder="1" applyAlignment="1" applyProtection="1">
      <alignment vertical="center"/>
      <protection hidden="1"/>
    </xf>
    <xf numFmtId="0" fontId="10" fillId="0" borderId="32" xfId="0" applyFont="1" applyBorder="1" applyAlignment="1" applyProtection="1">
      <alignment vertical="center"/>
      <protection hidden="1"/>
    </xf>
    <xf numFmtId="165" fontId="10" fillId="0" borderId="17" xfId="0" applyNumberFormat="1" applyFont="1" applyBorder="1" applyAlignment="1" applyProtection="1">
      <alignment horizontal="center" vertical="center"/>
      <protection hidden="1"/>
    </xf>
    <xf numFmtId="0" fontId="10" fillId="0" borderId="33" xfId="0" applyFont="1" applyBorder="1" applyAlignment="1" applyProtection="1">
      <alignment horizontal="center" vertical="center"/>
      <protection hidden="1"/>
    </xf>
    <xf numFmtId="0" fontId="10" fillId="0" borderId="25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vertical="center"/>
      <protection hidden="1"/>
    </xf>
    <xf numFmtId="0" fontId="10" fillId="0" borderId="10" xfId="0" applyFont="1" applyBorder="1" applyAlignment="1" applyProtection="1">
      <alignment vertical="center"/>
      <protection hidden="1"/>
    </xf>
    <xf numFmtId="0" fontId="10" fillId="0" borderId="33" xfId="0" applyFont="1" applyBorder="1" applyAlignment="1" applyProtection="1">
      <alignment vertical="center"/>
      <protection hidden="1"/>
    </xf>
    <xf numFmtId="0" fontId="10" fillId="0" borderId="26" xfId="0" applyFont="1" applyBorder="1" applyAlignment="1" applyProtection="1">
      <alignment horizontal="center" vertical="center"/>
      <protection hidden="1"/>
    </xf>
    <xf numFmtId="0" fontId="10" fillId="0" borderId="16" xfId="0" applyFont="1" applyBorder="1" applyAlignment="1" applyProtection="1">
      <alignment vertical="center"/>
      <protection hidden="1"/>
    </xf>
    <xf numFmtId="0" fontId="10" fillId="0" borderId="15" xfId="0" applyFont="1" applyBorder="1" applyAlignment="1" applyProtection="1">
      <alignment vertical="center"/>
      <protection hidden="1"/>
    </xf>
    <xf numFmtId="0" fontId="10" fillId="0" borderId="19" xfId="0" applyFont="1" applyBorder="1" applyAlignment="1" applyProtection="1">
      <alignment vertical="center"/>
      <protection hidden="1"/>
    </xf>
    <xf numFmtId="0" fontId="10" fillId="0" borderId="27" xfId="0" applyFont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19" fillId="0" borderId="28" xfId="0" applyFont="1" applyBorder="1" applyAlignment="1" applyProtection="1">
      <alignment horizontal="center" vertical="center"/>
      <protection hidden="1"/>
    </xf>
    <xf numFmtId="0" fontId="19" fillId="0" borderId="36" xfId="0" applyFont="1" applyBorder="1" applyAlignment="1" applyProtection="1">
      <alignment horizontal="center" vertical="center"/>
      <protection hidden="1"/>
    </xf>
    <xf numFmtId="0" fontId="19" fillId="0" borderId="0" xfId="0" applyFont="1" applyAlignment="1">
      <alignment horizontal="center" vertical="center"/>
    </xf>
    <xf numFmtId="0" fontId="19" fillId="0" borderId="34" xfId="0" applyFont="1" applyBorder="1" applyAlignment="1" applyProtection="1">
      <alignment horizontal="center" vertical="center"/>
      <protection hidden="1"/>
    </xf>
    <xf numFmtId="0" fontId="19" fillId="0" borderId="37" xfId="0" applyFont="1" applyBorder="1" applyAlignment="1" applyProtection="1">
      <alignment horizontal="center" vertical="center"/>
      <protection hidden="1"/>
    </xf>
    <xf numFmtId="0" fontId="19" fillId="0" borderId="38" xfId="0" applyFont="1" applyBorder="1" applyAlignment="1" applyProtection="1">
      <alignment horizontal="center" vertical="center"/>
      <protection hidden="1"/>
    </xf>
    <xf numFmtId="0" fontId="33" fillId="0" borderId="5" xfId="0" applyFont="1" applyBorder="1" applyAlignment="1" applyProtection="1">
      <alignment vertical="center"/>
      <protection hidden="1"/>
    </xf>
    <xf numFmtId="0" fontId="33" fillId="0" borderId="30" xfId="0" applyFont="1" applyBorder="1" applyAlignment="1" applyProtection="1">
      <alignment horizontal="center" vertical="center"/>
      <protection hidden="1"/>
    </xf>
    <xf numFmtId="0" fontId="33" fillId="0" borderId="56" xfId="0" applyFont="1" applyBorder="1" applyAlignment="1" applyProtection="1">
      <alignment horizontal="center" vertical="center"/>
      <protection hidden="1"/>
    </xf>
    <xf numFmtId="0" fontId="33" fillId="0" borderId="0" xfId="0" applyFont="1" applyAlignment="1">
      <alignment vertical="center"/>
    </xf>
    <xf numFmtId="0" fontId="19" fillId="0" borderId="5" xfId="0" applyFont="1" applyBorder="1" applyAlignment="1" applyProtection="1">
      <alignment vertical="center"/>
      <protection hidden="1"/>
    </xf>
    <xf numFmtId="0" fontId="33" fillId="0" borderId="57" xfId="0" applyFont="1" applyBorder="1" applyAlignment="1" applyProtection="1">
      <alignment horizontal="center" vertical="center"/>
      <protection hidden="1"/>
    </xf>
    <xf numFmtId="0" fontId="19" fillId="6" borderId="26" xfId="0" applyFont="1" applyFill="1" applyBorder="1" applyAlignment="1" applyProtection="1">
      <alignment vertical="center"/>
      <protection hidden="1"/>
    </xf>
    <xf numFmtId="0" fontId="33" fillId="6" borderId="39" xfId="0" applyFont="1" applyFill="1" applyBorder="1" applyAlignment="1" applyProtection="1">
      <alignment horizontal="center" vertical="center"/>
      <protection hidden="1"/>
    </xf>
    <xf numFmtId="0" fontId="33" fillId="6" borderId="40" xfId="0" applyFont="1" applyFill="1" applyBorder="1" applyAlignment="1" applyProtection="1">
      <alignment horizontal="center" vertical="center"/>
      <protection hidden="1"/>
    </xf>
    <xf numFmtId="0" fontId="19" fillId="0" borderId="26" xfId="0" applyFont="1" applyBorder="1" applyAlignment="1" applyProtection="1">
      <alignment vertical="center"/>
      <protection hidden="1"/>
    </xf>
    <xf numFmtId="0" fontId="33" fillId="0" borderId="39" xfId="0" applyFont="1" applyBorder="1" applyAlignment="1" applyProtection="1">
      <alignment horizontal="center" vertical="center"/>
      <protection hidden="1"/>
    </xf>
    <xf numFmtId="0" fontId="33" fillId="0" borderId="40" xfId="0" applyFont="1" applyBorder="1" applyAlignment="1" applyProtection="1">
      <alignment horizontal="center" vertical="center"/>
      <protection hidden="1"/>
    </xf>
    <xf numFmtId="0" fontId="3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5" borderId="17" xfId="0" applyFont="1" applyFill="1" applyBorder="1" applyAlignment="1" applyProtection="1">
      <alignment vertical="center" shrinkToFit="1"/>
      <protection hidden="1"/>
    </xf>
    <xf numFmtId="0" fontId="10" fillId="5" borderId="10" xfId="0" applyFont="1" applyFill="1" applyBorder="1" applyAlignment="1" applyProtection="1">
      <alignment vertical="center" shrinkToFit="1"/>
      <protection hidden="1"/>
    </xf>
    <xf numFmtId="0" fontId="10" fillId="5" borderId="9" xfId="0" applyFont="1" applyFill="1" applyBorder="1" applyAlignment="1" applyProtection="1">
      <alignment horizontal="center" vertical="center" shrinkToFit="1"/>
      <protection hidden="1"/>
    </xf>
    <xf numFmtId="0" fontId="10" fillId="3" borderId="18" xfId="0" applyFont="1" applyFill="1" applyBorder="1" applyAlignment="1">
      <alignment vertical="center" shrinkToFit="1"/>
    </xf>
    <xf numFmtId="0" fontId="10" fillId="3" borderId="15" xfId="0" applyFont="1" applyFill="1" applyBorder="1" applyAlignment="1">
      <alignment vertical="center" shrinkToFit="1"/>
    </xf>
    <xf numFmtId="0" fontId="10" fillId="3" borderId="9" xfId="0" applyFont="1" applyFill="1" applyBorder="1" applyAlignment="1" applyProtection="1">
      <alignment horizontal="center" vertical="center" shrinkToFit="1"/>
      <protection hidden="1"/>
    </xf>
    <xf numFmtId="0" fontId="10" fillId="2" borderId="17" xfId="0" applyFont="1" applyFill="1" applyBorder="1" applyAlignment="1" applyProtection="1">
      <alignment vertical="center" shrinkToFit="1"/>
      <protection hidden="1"/>
    </xf>
    <xf numFmtId="0" fontId="10" fillId="2" borderId="10" xfId="0" applyFont="1" applyFill="1" applyBorder="1" applyAlignment="1" applyProtection="1">
      <alignment vertical="center" shrinkToFit="1"/>
      <protection hidden="1"/>
    </xf>
    <xf numFmtId="0" fontId="10" fillId="2" borderId="9" xfId="0" applyFont="1" applyFill="1" applyBorder="1" applyAlignment="1" applyProtection="1">
      <alignment horizontal="center" vertical="center" shrinkToFit="1"/>
      <protection hidden="1"/>
    </xf>
    <xf numFmtId="0" fontId="10" fillId="4" borderId="17" xfId="0" applyFont="1" applyFill="1" applyBorder="1" applyAlignment="1" applyProtection="1">
      <alignment vertical="center" shrinkToFit="1"/>
      <protection hidden="1"/>
    </xf>
    <xf numFmtId="0" fontId="10" fillId="4" borderId="10" xfId="0" applyFont="1" applyFill="1" applyBorder="1" applyAlignment="1" applyProtection="1">
      <alignment vertical="center" shrinkToFit="1"/>
      <protection hidden="1"/>
    </xf>
    <xf numFmtId="0" fontId="10" fillId="4" borderId="9" xfId="0" applyFont="1" applyFill="1" applyBorder="1" applyAlignment="1" applyProtection="1">
      <alignment horizontal="center" vertical="center" shrinkToFit="1"/>
      <protection hidden="1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12" xfId="0" applyFont="1" applyBorder="1" applyAlignment="1">
      <alignment vertical="center" shrinkToFit="1"/>
    </xf>
    <xf numFmtId="0" fontId="15" fillId="0" borderId="13" xfId="0" applyFont="1" applyBorder="1" applyAlignment="1">
      <alignment vertical="center"/>
    </xf>
    <xf numFmtId="165" fontId="15" fillId="6" borderId="41" xfId="0" applyNumberFormat="1" applyFont="1" applyFill="1" applyBorder="1" applyAlignment="1" applyProtection="1">
      <alignment horizontal="right" vertical="center"/>
      <protection locked="0"/>
    </xf>
    <xf numFmtId="0" fontId="15" fillId="6" borderId="42" xfId="0" applyFont="1" applyFill="1" applyBorder="1" applyAlignment="1" applyProtection="1">
      <alignment horizontal="center" vertical="center"/>
      <protection locked="0"/>
    </xf>
    <xf numFmtId="166" fontId="15" fillId="0" borderId="9" xfId="0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0" fontId="15" fillId="0" borderId="14" xfId="0" applyFont="1" applyBorder="1" applyAlignment="1">
      <alignment vertical="center" shrinkToFit="1"/>
    </xf>
    <xf numFmtId="0" fontId="15" fillId="0" borderId="10" xfId="0" applyFont="1" applyBorder="1" applyAlignment="1">
      <alignment vertical="center"/>
    </xf>
    <xf numFmtId="165" fontId="15" fillId="6" borderId="43" xfId="0" applyNumberFormat="1" applyFont="1" applyFill="1" applyBorder="1" applyAlignment="1" applyProtection="1">
      <alignment horizontal="right" vertical="center"/>
      <protection locked="0"/>
    </xf>
    <xf numFmtId="0" fontId="15" fillId="6" borderId="44" xfId="0" applyFont="1" applyFill="1" applyBorder="1" applyAlignment="1" applyProtection="1">
      <alignment horizontal="center" vertical="center"/>
      <protection locked="0"/>
    </xf>
    <xf numFmtId="0" fontId="15" fillId="0" borderId="58" xfId="0" applyFont="1" applyBorder="1" applyAlignment="1">
      <alignment vertical="center" shrinkToFit="1"/>
    </xf>
    <xf numFmtId="0" fontId="15" fillId="0" borderId="35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36" fillId="6" borderId="60" xfId="0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shrinkToFit="1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7" fillId="0" borderId="67" xfId="0" applyFont="1" applyBorder="1" applyAlignment="1">
      <alignment vertical="center"/>
    </xf>
    <xf numFmtId="0" fontId="17" fillId="0" borderId="68" xfId="0" applyFont="1" applyBorder="1" applyAlignment="1">
      <alignment vertical="center"/>
    </xf>
    <xf numFmtId="0" fontId="15" fillId="7" borderId="69" xfId="0" applyFont="1" applyFill="1" applyBorder="1" applyAlignment="1" applyProtection="1">
      <alignment horizontal="center" vertical="center"/>
      <protection locked="0"/>
    </xf>
    <xf numFmtId="0" fontId="17" fillId="0" borderId="70" xfId="0" applyFont="1" applyBorder="1" applyAlignment="1" applyProtection="1">
      <alignment horizontal="center" vertical="center"/>
      <protection hidden="1"/>
    </xf>
    <xf numFmtId="0" fontId="17" fillId="0" borderId="71" xfId="0" applyFont="1" applyBorder="1" applyAlignment="1" applyProtection="1">
      <alignment horizontal="center" vertical="center"/>
      <protection hidden="1"/>
    </xf>
    <xf numFmtId="0" fontId="15" fillId="0" borderId="72" xfId="0" applyFont="1" applyBorder="1" applyAlignment="1" applyProtection="1">
      <alignment horizontal="center" vertical="center"/>
      <protection hidden="1"/>
    </xf>
    <xf numFmtId="0" fontId="15" fillId="0" borderId="20" xfId="0" applyFont="1" applyBorder="1" applyAlignment="1">
      <alignment horizontal="center" vertical="center"/>
    </xf>
    <xf numFmtId="0" fontId="36" fillId="6" borderId="35" xfId="0" applyFont="1" applyFill="1" applyBorder="1" applyAlignment="1">
      <alignment horizontal="center" vertical="center"/>
    </xf>
    <xf numFmtId="0" fontId="17" fillId="0" borderId="83" xfId="0" applyFont="1" applyBorder="1" applyAlignment="1">
      <alignment vertical="center" shrinkToFit="1"/>
    </xf>
    <xf numFmtId="0" fontId="36" fillId="6" borderId="86" xfId="0" applyFont="1" applyFill="1" applyBorder="1" applyAlignment="1">
      <alignment horizontal="center" vertical="center"/>
    </xf>
    <xf numFmtId="0" fontId="36" fillId="6" borderId="87" xfId="0" applyFont="1" applyFill="1" applyBorder="1" applyAlignment="1">
      <alignment horizontal="center" vertical="center"/>
    </xf>
    <xf numFmtId="0" fontId="40" fillId="0" borderId="67" xfId="0" applyFont="1" applyBorder="1" applyAlignment="1">
      <alignment horizontal="center" vertical="center"/>
    </xf>
    <xf numFmtId="0" fontId="40" fillId="0" borderId="6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 shrinkToFit="1"/>
    </xf>
    <xf numFmtId="0" fontId="17" fillId="0" borderId="85" xfId="0" applyFont="1" applyBorder="1" applyAlignment="1">
      <alignment horizontal="center" vertical="center" shrinkToFit="1"/>
    </xf>
    <xf numFmtId="0" fontId="7" fillId="0" borderId="20" xfId="0" applyFont="1" applyBorder="1"/>
    <xf numFmtId="0" fontId="41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165" fontId="15" fillId="6" borderId="45" xfId="0" applyNumberFormat="1" applyFont="1" applyFill="1" applyBorder="1" applyAlignment="1" applyProtection="1">
      <alignment horizontal="right" vertical="center"/>
      <protection locked="0"/>
    </xf>
    <xf numFmtId="0" fontId="15" fillId="6" borderId="46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39" xfId="0" applyFont="1" applyBorder="1" applyAlignment="1">
      <alignment vertical="center"/>
    </xf>
    <xf numFmtId="0" fontId="34" fillId="0" borderId="53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6" borderId="53" xfId="0" applyFont="1" applyFill="1" applyBorder="1" applyAlignment="1">
      <alignment horizontal="center" vertical="center"/>
    </xf>
    <xf numFmtId="0" fontId="10" fillId="5" borderId="50" xfId="0" applyFont="1" applyFill="1" applyBorder="1" applyAlignment="1" applyProtection="1">
      <alignment horizontal="center" vertical="center"/>
      <protection locked="0" hidden="1"/>
    </xf>
    <xf numFmtId="0" fontId="10" fillId="5" borderId="50" xfId="0" applyFont="1" applyFill="1" applyBorder="1" applyAlignment="1" applyProtection="1">
      <alignment vertical="center"/>
      <protection locked="0" hidden="1"/>
    </xf>
    <xf numFmtId="0" fontId="13" fillId="5" borderId="51" xfId="0" applyFont="1" applyFill="1" applyBorder="1" applyAlignment="1">
      <alignment horizontal="center" vertical="center"/>
    </xf>
    <xf numFmtId="0" fontId="13" fillId="5" borderId="5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3" borderId="88" xfId="0" applyFont="1" applyFill="1" applyBorder="1" applyAlignment="1" applyProtection="1">
      <alignment horizontal="center" vertical="center"/>
      <protection locked="0" hidden="1"/>
    </xf>
    <xf numFmtId="0" fontId="10" fillId="3" borderId="88" xfId="0" applyFont="1" applyFill="1" applyBorder="1" applyAlignment="1" applyProtection="1">
      <alignment vertical="center"/>
      <protection locked="0" hidden="1"/>
    </xf>
    <xf numFmtId="0" fontId="10" fillId="3" borderId="47" xfId="2" applyFont="1" applyFill="1" applyBorder="1" applyAlignment="1">
      <alignment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10" fillId="2" borderId="59" xfId="2" applyFont="1" applyFill="1" applyBorder="1" applyAlignment="1">
      <alignment horizontal="center" vertical="center" shrinkToFit="1"/>
    </xf>
    <xf numFmtId="0" fontId="10" fillId="2" borderId="88" xfId="2" applyFont="1" applyFill="1" applyBorder="1" applyAlignment="1">
      <alignment vertical="center" shrinkToFit="1"/>
    </xf>
    <xf numFmtId="0" fontId="10" fillId="2" borderId="47" xfId="2" applyFont="1" applyFill="1" applyBorder="1" applyAlignment="1">
      <alignment vertical="center"/>
    </xf>
    <xf numFmtId="0" fontId="13" fillId="2" borderId="48" xfId="0" applyFont="1" applyFill="1" applyBorder="1" applyAlignment="1">
      <alignment horizontal="center" vertical="center"/>
    </xf>
    <xf numFmtId="0" fontId="13" fillId="2" borderId="49" xfId="0" applyFont="1" applyFill="1" applyBorder="1" applyAlignment="1">
      <alignment horizontal="center" vertical="center"/>
    </xf>
    <xf numFmtId="0" fontId="10" fillId="4" borderId="47" xfId="2" applyFont="1" applyFill="1" applyBorder="1" applyAlignment="1">
      <alignment horizontal="center" vertical="center"/>
    </xf>
    <xf numFmtId="0" fontId="10" fillId="4" borderId="47" xfId="2" applyFont="1" applyFill="1" applyBorder="1" applyAlignment="1">
      <alignment vertical="center"/>
    </xf>
    <xf numFmtId="0" fontId="10" fillId="4" borderId="47" xfId="0" applyFont="1" applyFill="1" applyBorder="1" applyAlignment="1" applyProtection="1">
      <alignment vertical="center"/>
      <protection locked="0" hidden="1"/>
    </xf>
    <xf numFmtId="0" fontId="13" fillId="4" borderId="48" xfId="0" applyFont="1" applyFill="1" applyBorder="1" applyAlignment="1">
      <alignment horizontal="center" vertical="center"/>
    </xf>
    <xf numFmtId="0" fontId="13" fillId="4" borderId="49" xfId="0" applyFont="1" applyFill="1" applyBorder="1" applyAlignment="1">
      <alignment horizontal="center" vertical="center"/>
    </xf>
    <xf numFmtId="0" fontId="10" fillId="3" borderId="47" xfId="0" applyFont="1" applyFill="1" applyBorder="1" applyAlignment="1" applyProtection="1">
      <alignment horizontal="center" vertical="center"/>
      <protection locked="0" hidden="1"/>
    </xf>
    <xf numFmtId="0" fontId="10" fillId="3" borderId="47" xfId="0" applyFont="1" applyFill="1" applyBorder="1" applyAlignment="1" applyProtection="1">
      <alignment vertical="center"/>
      <protection locked="0" hidden="1"/>
    </xf>
    <xf numFmtId="0" fontId="10" fillId="2" borderId="47" xfId="2" applyFont="1" applyFill="1" applyBorder="1" applyAlignment="1">
      <alignment horizontal="center" vertical="center"/>
    </xf>
    <xf numFmtId="0" fontId="10" fillId="4" borderId="47" xfId="0" applyFont="1" applyFill="1" applyBorder="1" applyAlignment="1" applyProtection="1">
      <alignment horizontal="center" vertical="center"/>
      <protection locked="0" hidden="1"/>
    </xf>
    <xf numFmtId="0" fontId="10" fillId="2" borderId="50" xfId="2" applyFont="1" applyFill="1" applyBorder="1" applyAlignment="1">
      <alignment horizontal="center" vertical="center"/>
    </xf>
    <xf numFmtId="0" fontId="10" fillId="2" borderId="50" xfId="2" applyFont="1" applyFill="1" applyBorder="1" applyAlignment="1">
      <alignment vertical="center"/>
    </xf>
    <xf numFmtId="0" fontId="10" fillId="3" borderId="47" xfId="2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14" fillId="2" borderId="49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2" fillId="0" borderId="0" xfId="0" applyFont="1" applyAlignment="1" applyProtection="1">
      <alignment vertical="center"/>
      <protection hidden="1"/>
    </xf>
    <xf numFmtId="0" fontId="43" fillId="0" borderId="0" xfId="0" applyFont="1" applyAlignment="1">
      <alignment horizontal="left" vertical="center"/>
    </xf>
    <xf numFmtId="0" fontId="43" fillId="0" borderId="0" xfId="0" applyFont="1" applyAlignment="1">
      <alignment horizontal="center" vertical="center"/>
    </xf>
    <xf numFmtId="1" fontId="43" fillId="0" borderId="0" xfId="0" applyNumberFormat="1" applyFont="1" applyAlignment="1">
      <alignment horizontal="center" vertical="center"/>
    </xf>
    <xf numFmtId="0" fontId="43" fillId="0" borderId="0" xfId="0" applyFont="1" applyAlignment="1">
      <alignment vertical="center"/>
    </xf>
    <xf numFmtId="165" fontId="43" fillId="0" borderId="0" xfId="0" applyNumberFormat="1" applyFont="1" applyAlignment="1" applyProtection="1">
      <alignment horizontal="center" vertical="center"/>
      <protection hidden="1"/>
    </xf>
    <xf numFmtId="1" fontId="43" fillId="0" borderId="0" xfId="0" applyNumberFormat="1" applyFont="1" applyAlignment="1" applyProtection="1">
      <alignment horizontal="center" vertical="center"/>
      <protection hidden="1"/>
    </xf>
    <xf numFmtId="165" fontId="43" fillId="0" borderId="0" xfId="0" applyNumberFormat="1" applyFont="1" applyAlignment="1" applyProtection="1">
      <alignment horizontal="right" vertical="center"/>
      <protection hidden="1"/>
    </xf>
    <xf numFmtId="0" fontId="34" fillId="0" borderId="0" xfId="0" applyFont="1" applyAlignment="1">
      <alignment horizontal="center" vertical="center" wrapText="1"/>
    </xf>
    <xf numFmtId="0" fontId="12" fillId="6" borderId="0" xfId="0" applyFont="1" applyFill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11" fillId="6" borderId="20" xfId="2" applyFont="1" applyFill="1" applyBorder="1" applyAlignment="1">
      <alignment horizontal="center" vertical="center"/>
    </xf>
    <xf numFmtId="0" fontId="11" fillId="6" borderId="81" xfId="2" applyFont="1" applyFill="1" applyBorder="1" applyAlignment="1">
      <alignment horizontal="center" vertical="center"/>
    </xf>
    <xf numFmtId="0" fontId="11" fillId="6" borderId="35" xfId="0" applyFont="1" applyFill="1" applyBorder="1" applyAlignment="1">
      <alignment horizontal="center" vertical="center"/>
    </xf>
    <xf numFmtId="0" fontId="11" fillId="6" borderId="73" xfId="0" applyFont="1" applyFill="1" applyBorder="1" applyAlignment="1">
      <alignment horizontal="center" vertical="center"/>
    </xf>
    <xf numFmtId="0" fontId="43" fillId="0" borderId="0" xfId="0" applyFont="1" applyAlignment="1" applyProtection="1">
      <alignment horizontal="left" vertical="center"/>
      <protection hidden="1"/>
    </xf>
    <xf numFmtId="0" fontId="43" fillId="0" borderId="0" xfId="0" applyFont="1" applyAlignment="1" applyProtection="1">
      <alignment vertical="center"/>
      <protection hidden="1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67" fontId="15" fillId="0" borderId="74" xfId="0" applyNumberFormat="1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1" fillId="6" borderId="87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1" fillId="6" borderId="75" xfId="0" applyFont="1" applyFill="1" applyBorder="1" applyAlignment="1" applyProtection="1">
      <alignment horizontal="center" vertical="center" wrapText="1"/>
      <protection hidden="1"/>
    </xf>
    <xf numFmtId="0" fontId="22" fillId="6" borderId="76" xfId="0" applyFont="1" applyFill="1" applyBorder="1" applyAlignment="1">
      <alignment horizontal="center" vertical="center" wrapText="1"/>
    </xf>
    <xf numFmtId="0" fontId="22" fillId="6" borderId="77" xfId="0" applyFont="1" applyFill="1" applyBorder="1" applyAlignment="1">
      <alignment horizontal="center" vertical="center" wrapText="1"/>
    </xf>
    <xf numFmtId="0" fontId="22" fillId="6" borderId="78" xfId="0" applyFont="1" applyFill="1" applyBorder="1" applyAlignment="1">
      <alignment horizontal="center" vertical="center" wrapText="1"/>
    </xf>
    <xf numFmtId="0" fontId="22" fillId="6" borderId="20" xfId="0" applyFont="1" applyFill="1" applyBorder="1" applyAlignment="1">
      <alignment horizontal="center" vertical="center" wrapText="1"/>
    </xf>
    <xf numFmtId="0" fontId="22" fillId="6" borderId="79" xfId="0" applyFont="1" applyFill="1" applyBorder="1" applyAlignment="1">
      <alignment horizontal="center" vertical="center" wrapText="1"/>
    </xf>
    <xf numFmtId="0" fontId="10" fillId="6" borderId="77" xfId="0" applyFont="1" applyFill="1" applyBorder="1" applyAlignment="1">
      <alignment horizontal="center" vertical="center" wrapText="1"/>
    </xf>
    <xf numFmtId="0" fontId="13" fillId="6" borderId="75" xfId="0" applyFont="1" applyFill="1" applyBorder="1" applyAlignment="1" applyProtection="1">
      <alignment horizontal="center" vertical="center" wrapText="1"/>
      <protection hidden="1"/>
    </xf>
    <xf numFmtId="0" fontId="13" fillId="6" borderId="76" xfId="0" applyFont="1" applyFill="1" applyBorder="1" applyAlignment="1" applyProtection="1">
      <alignment horizontal="center" vertical="center" wrapText="1"/>
      <protection hidden="1"/>
    </xf>
    <xf numFmtId="0" fontId="13" fillId="6" borderId="77" xfId="0" applyFont="1" applyFill="1" applyBorder="1" applyAlignment="1" applyProtection="1">
      <alignment horizontal="center" vertical="center" wrapText="1"/>
      <protection hidden="1"/>
    </xf>
    <xf numFmtId="0" fontId="13" fillId="6" borderId="30" xfId="0" applyFont="1" applyFill="1" applyBorder="1" applyAlignment="1" applyProtection="1">
      <alignment horizontal="center" vertical="center" wrapText="1"/>
      <protection hidden="1"/>
    </xf>
    <xf numFmtId="0" fontId="13" fillId="6" borderId="0" xfId="0" applyFont="1" applyFill="1" applyAlignment="1" applyProtection="1">
      <alignment horizontal="center" vertical="center" wrapText="1"/>
      <protection hidden="1"/>
    </xf>
    <xf numFmtId="0" fontId="13" fillId="6" borderId="80" xfId="0" applyFont="1" applyFill="1" applyBorder="1" applyAlignment="1" applyProtection="1">
      <alignment horizontal="center" vertical="center" wrapText="1"/>
      <protection hidden="1"/>
    </xf>
    <xf numFmtId="0" fontId="13" fillId="6" borderId="78" xfId="0" applyFont="1" applyFill="1" applyBorder="1" applyAlignment="1" applyProtection="1">
      <alignment horizontal="center" vertical="center" wrapText="1"/>
      <protection hidden="1"/>
    </xf>
    <xf numFmtId="0" fontId="13" fillId="6" borderId="20" xfId="0" applyFont="1" applyFill="1" applyBorder="1" applyAlignment="1" applyProtection="1">
      <alignment horizontal="center" vertical="center" wrapText="1"/>
      <protection hidden="1"/>
    </xf>
    <xf numFmtId="0" fontId="13" fillId="6" borderId="79" xfId="0" applyFont="1" applyFill="1" applyBorder="1" applyAlignment="1" applyProtection="1">
      <alignment horizontal="center" vertical="center" wrapText="1"/>
      <protection hidden="1"/>
    </xf>
    <xf numFmtId="0" fontId="28" fillId="6" borderId="75" xfId="0" applyFont="1" applyFill="1" applyBorder="1" applyAlignment="1" applyProtection="1">
      <alignment horizontal="center" vertical="center" wrapText="1"/>
      <protection hidden="1"/>
    </xf>
    <xf numFmtId="0" fontId="28" fillId="6" borderId="76" xfId="0" applyFont="1" applyFill="1" applyBorder="1" applyAlignment="1" applyProtection="1">
      <alignment horizontal="center" vertical="center" wrapText="1"/>
      <protection hidden="1"/>
    </xf>
    <xf numFmtId="0" fontId="28" fillId="6" borderId="77" xfId="0" applyFont="1" applyFill="1" applyBorder="1" applyAlignment="1" applyProtection="1">
      <alignment horizontal="center" vertical="center" wrapText="1"/>
      <protection hidden="1"/>
    </xf>
    <xf numFmtId="0" fontId="28" fillId="6" borderId="30" xfId="0" applyFont="1" applyFill="1" applyBorder="1" applyAlignment="1" applyProtection="1">
      <alignment horizontal="center" vertical="center" wrapText="1"/>
      <protection hidden="1"/>
    </xf>
    <xf numFmtId="0" fontId="28" fillId="6" borderId="0" xfId="0" applyFont="1" applyFill="1" applyAlignment="1" applyProtection="1">
      <alignment horizontal="center" vertical="center" wrapText="1"/>
      <protection hidden="1"/>
    </xf>
    <xf numFmtId="0" fontId="28" fillId="6" borderId="80" xfId="0" applyFont="1" applyFill="1" applyBorder="1" applyAlignment="1" applyProtection="1">
      <alignment horizontal="center" vertical="center" wrapText="1"/>
      <protection hidden="1"/>
    </xf>
    <xf numFmtId="0" fontId="28" fillId="6" borderId="78" xfId="0" applyFont="1" applyFill="1" applyBorder="1" applyAlignment="1" applyProtection="1">
      <alignment horizontal="center" vertical="center" wrapText="1"/>
      <protection hidden="1"/>
    </xf>
    <xf numFmtId="0" fontId="28" fillId="6" borderId="20" xfId="0" applyFont="1" applyFill="1" applyBorder="1" applyAlignment="1" applyProtection="1">
      <alignment horizontal="center" vertical="center" wrapText="1"/>
      <protection hidden="1"/>
    </xf>
    <xf numFmtId="0" fontId="28" fillId="6" borderId="79" xfId="0" applyFont="1" applyFill="1" applyBorder="1" applyAlignment="1" applyProtection="1">
      <alignment horizontal="center" vertical="center" wrapText="1"/>
      <protection hidden="1"/>
    </xf>
  </cellXfs>
  <cellStyles count="12">
    <cellStyle name="Euro" xfId="1" xr:uid="{00000000-0005-0000-0000-000000000000}"/>
    <cellStyle name="Komma 2" xfId="4" xr:uid="{00000000-0005-0000-0000-000001000000}"/>
    <cellStyle name="Standard" xfId="0" builtinId="0"/>
    <cellStyle name="Standard 2" xfId="3" xr:uid="{00000000-0005-0000-0000-000003000000}"/>
    <cellStyle name="Standard 3" xfId="5" xr:uid="{00000000-0005-0000-0000-000004000000}"/>
    <cellStyle name="Standard 3 2" xfId="6" xr:uid="{00000000-0005-0000-0000-000005000000}"/>
    <cellStyle name="Standard 3 2 2" xfId="7" xr:uid="{00000000-0005-0000-0000-000006000000}"/>
    <cellStyle name="Standard 3 2 2 2" xfId="8" xr:uid="{00000000-0005-0000-0000-000007000000}"/>
    <cellStyle name="Standard 3 2 2 2 2" xfId="9" xr:uid="{00000000-0005-0000-0000-000008000000}"/>
    <cellStyle name="Standard 3 2 2 2 2 2" xfId="10" xr:uid="{00000000-0005-0000-0000-000009000000}"/>
    <cellStyle name="Standard 3 2 2 2 2 2 2" xfId="11" xr:uid="{00000000-0005-0000-0000-00000A000000}"/>
    <cellStyle name="Standard_Mannschaftsaufstellungen nach dem 1. Spieltag" xfId="2" xr:uid="{00000000-0005-0000-0000-00000B000000}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aulo\Documents\Sport\Bundesliga\Bundesliga-Tippspiel\2023_2024\Ergebnistipps.xlsx" TargetMode="External"/><Relationship Id="rId1" Type="http://schemas.openxmlformats.org/officeDocument/2006/relationships/externalLinkPath" Target="Ergebnistipp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aulo\Documents\Sport\Bundesliga\Bundesliga-Tippspiel\2023_2024\Auswechselungen%20Rueckrunde%202023_2024.xlsx" TargetMode="External"/><Relationship Id="rId1" Type="http://schemas.openxmlformats.org/officeDocument/2006/relationships/externalLinkPath" Target="Auswechselungen%20Rueckrunde%202023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Spieltag"/>
      <sheetName val="2. Spieltag"/>
      <sheetName val="3. Spieltag"/>
      <sheetName val="4. Spieltag"/>
      <sheetName val="5. Spieltag"/>
      <sheetName val="6. Spieltag"/>
      <sheetName val="7. Spieltag"/>
      <sheetName val="8. Spieltag"/>
      <sheetName val="9. Spieltag"/>
      <sheetName val="10. Spieltag"/>
      <sheetName val="11. Spieltag"/>
      <sheetName val="12. Spieltag"/>
      <sheetName val="13. Spieltag"/>
      <sheetName val="14. Spieltag"/>
      <sheetName val="15. Spieltag"/>
      <sheetName val="16. Spieltag"/>
      <sheetName val="17. Spieltag"/>
      <sheetName val="18. Spieltag"/>
      <sheetName val="19. Spieltag"/>
      <sheetName val="20. Spieltag"/>
      <sheetName val="21. Spieltag"/>
      <sheetName val="22. Spieltag"/>
      <sheetName val="23. Spieltag"/>
      <sheetName val="24. Spieltag"/>
      <sheetName val="25. Spieltag"/>
      <sheetName val="26. Spieltag"/>
      <sheetName val="27. Spieltag"/>
      <sheetName val="28. Spieltag"/>
      <sheetName val="29. Spieltag"/>
      <sheetName val="30. Spieltag"/>
      <sheetName val="31. Spieltag"/>
      <sheetName val="32. Spieltag"/>
      <sheetName val="33. Spieltag"/>
      <sheetName val="34. Spielt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5">
          <cell r="A5" t="str">
            <v>Hoffenheim</v>
          </cell>
          <cell r="B5" t="str">
            <v>München</v>
          </cell>
          <cell r="D5">
            <v>2</v>
          </cell>
          <cell r="E5">
            <v>1</v>
          </cell>
          <cell r="H5">
            <v>2</v>
          </cell>
          <cell r="I5">
            <v>1</v>
          </cell>
          <cell r="L5">
            <v>1</v>
          </cell>
          <cell r="M5">
            <v>3</v>
          </cell>
          <cell r="P5">
            <v>1</v>
          </cell>
          <cell r="Q5">
            <v>4</v>
          </cell>
          <cell r="T5">
            <v>1</v>
          </cell>
          <cell r="U5">
            <v>4</v>
          </cell>
        </row>
        <row r="6">
          <cell r="A6" t="str">
            <v>Frankfurt</v>
          </cell>
          <cell r="B6" t="str">
            <v>Leipzig</v>
          </cell>
          <cell r="D6">
            <v>1</v>
          </cell>
          <cell r="E6">
            <v>1</v>
          </cell>
          <cell r="H6">
            <v>1</v>
          </cell>
          <cell r="I6">
            <v>1</v>
          </cell>
          <cell r="L6">
            <v>1</v>
          </cell>
          <cell r="M6">
            <v>2</v>
          </cell>
          <cell r="P6">
            <v>1</v>
          </cell>
          <cell r="Q6">
            <v>3</v>
          </cell>
          <cell r="T6">
            <v>1</v>
          </cell>
          <cell r="U6">
            <v>3</v>
          </cell>
        </row>
        <row r="7">
          <cell r="A7" t="str">
            <v>Union Berlin</v>
          </cell>
          <cell r="B7" t="str">
            <v>Freiburg</v>
          </cell>
          <cell r="D7">
            <v>0</v>
          </cell>
          <cell r="E7">
            <v>2</v>
          </cell>
          <cell r="H7">
            <v>0</v>
          </cell>
          <cell r="I7">
            <v>2</v>
          </cell>
          <cell r="L7">
            <v>2</v>
          </cell>
          <cell r="M7">
            <v>2</v>
          </cell>
          <cell r="P7">
            <v>3</v>
          </cell>
          <cell r="Q7">
            <v>2</v>
          </cell>
          <cell r="T7">
            <v>3</v>
          </cell>
          <cell r="U7">
            <v>2</v>
          </cell>
        </row>
        <row r="8">
          <cell r="A8" t="str">
            <v>Wolfsburg</v>
          </cell>
          <cell r="B8" t="str">
            <v>Mainz</v>
          </cell>
          <cell r="D8">
            <v>1</v>
          </cell>
          <cell r="E8">
            <v>3</v>
          </cell>
          <cell r="H8">
            <v>1</v>
          </cell>
          <cell r="I8">
            <v>3</v>
          </cell>
          <cell r="L8">
            <v>2</v>
          </cell>
          <cell r="M8">
            <v>2</v>
          </cell>
          <cell r="P8">
            <v>3</v>
          </cell>
          <cell r="Q8">
            <v>1</v>
          </cell>
          <cell r="T8">
            <v>3</v>
          </cell>
          <cell r="U8">
            <v>1</v>
          </cell>
        </row>
        <row r="9">
          <cell r="A9" t="str">
            <v>Stuttgart</v>
          </cell>
          <cell r="B9" t="str">
            <v>M'gladbach</v>
          </cell>
          <cell r="D9">
            <v>3</v>
          </cell>
          <cell r="E9">
            <v>0</v>
          </cell>
          <cell r="H9">
            <v>3</v>
          </cell>
          <cell r="I9">
            <v>0</v>
          </cell>
          <cell r="L9">
            <v>4</v>
          </cell>
          <cell r="M9">
            <v>1</v>
          </cell>
          <cell r="P9">
            <v>4</v>
          </cell>
          <cell r="Q9">
            <v>1</v>
          </cell>
          <cell r="T9">
            <v>4</v>
          </cell>
          <cell r="U9">
            <v>1</v>
          </cell>
        </row>
        <row r="10">
          <cell r="A10" t="str">
            <v>Heidenheim</v>
          </cell>
          <cell r="B10" t="str">
            <v>Köln</v>
          </cell>
          <cell r="D10">
            <v>1</v>
          </cell>
          <cell r="E10">
            <v>2</v>
          </cell>
          <cell r="H10">
            <v>1</v>
          </cell>
          <cell r="I10">
            <v>2</v>
          </cell>
          <cell r="L10">
            <v>2</v>
          </cell>
          <cell r="M10">
            <v>2</v>
          </cell>
          <cell r="P10">
            <v>2</v>
          </cell>
          <cell r="Q10">
            <v>2</v>
          </cell>
          <cell r="T10">
            <v>2</v>
          </cell>
          <cell r="U10">
            <v>2</v>
          </cell>
        </row>
        <row r="11">
          <cell r="A11" t="str">
            <v>Bremen</v>
          </cell>
          <cell r="B11" t="str">
            <v>Bochum</v>
          </cell>
          <cell r="D11">
            <v>2</v>
          </cell>
          <cell r="E11">
            <v>1</v>
          </cell>
          <cell r="H11">
            <v>2</v>
          </cell>
          <cell r="I11">
            <v>1</v>
          </cell>
          <cell r="L11">
            <v>3</v>
          </cell>
          <cell r="M11">
            <v>2</v>
          </cell>
          <cell r="P11">
            <v>3</v>
          </cell>
          <cell r="Q11">
            <v>2</v>
          </cell>
          <cell r="T11">
            <v>3</v>
          </cell>
          <cell r="U11">
            <v>2</v>
          </cell>
        </row>
        <row r="12">
          <cell r="A12" t="str">
            <v>Leverkusen</v>
          </cell>
          <cell r="B12" t="str">
            <v>Augsburg</v>
          </cell>
          <cell r="D12">
            <v>4</v>
          </cell>
          <cell r="E12">
            <v>1</v>
          </cell>
          <cell r="H12">
            <v>4</v>
          </cell>
          <cell r="I12">
            <v>1</v>
          </cell>
          <cell r="L12">
            <v>4</v>
          </cell>
          <cell r="M12">
            <v>1</v>
          </cell>
          <cell r="P12">
            <v>4</v>
          </cell>
          <cell r="Q12">
            <v>1</v>
          </cell>
          <cell r="T12">
            <v>4</v>
          </cell>
          <cell r="U12">
            <v>1</v>
          </cell>
        </row>
        <row r="13">
          <cell r="A13" t="str">
            <v>Dortmund</v>
          </cell>
          <cell r="B13" t="str">
            <v>Darmstadt</v>
          </cell>
          <cell r="D13">
            <v>5</v>
          </cell>
          <cell r="E13">
            <v>0</v>
          </cell>
          <cell r="H13">
            <v>5</v>
          </cell>
          <cell r="I13">
            <v>0</v>
          </cell>
          <cell r="L13">
            <v>5</v>
          </cell>
          <cell r="M13">
            <v>1</v>
          </cell>
          <cell r="P13">
            <v>4</v>
          </cell>
          <cell r="Q13">
            <v>1</v>
          </cell>
          <cell r="T13">
            <v>4</v>
          </cell>
          <cell r="U13">
            <v>1</v>
          </cell>
        </row>
        <row r="20">
          <cell r="D20">
            <v>1</v>
          </cell>
          <cell r="E20">
            <v>4</v>
          </cell>
          <cell r="H20">
            <v>1</v>
          </cell>
          <cell r="I20">
            <v>4</v>
          </cell>
          <cell r="L20">
            <v>1</v>
          </cell>
          <cell r="M20">
            <v>3</v>
          </cell>
          <cell r="P20">
            <v>0</v>
          </cell>
          <cell r="Q20">
            <v>2</v>
          </cell>
        </row>
        <row r="21">
          <cell r="D21">
            <v>1</v>
          </cell>
          <cell r="E21">
            <v>3</v>
          </cell>
          <cell r="H21">
            <v>1</v>
          </cell>
          <cell r="I21">
            <v>3</v>
          </cell>
          <cell r="L21">
            <v>1</v>
          </cell>
          <cell r="M21">
            <v>2</v>
          </cell>
          <cell r="P21">
            <v>1</v>
          </cell>
          <cell r="Q21">
            <v>2</v>
          </cell>
        </row>
        <row r="22">
          <cell r="D22">
            <v>3</v>
          </cell>
          <cell r="E22">
            <v>2</v>
          </cell>
          <cell r="H22">
            <v>3</v>
          </cell>
          <cell r="I22">
            <v>2</v>
          </cell>
          <cell r="L22">
            <v>3</v>
          </cell>
          <cell r="M22">
            <v>2</v>
          </cell>
          <cell r="P22">
            <v>2</v>
          </cell>
          <cell r="Q22">
            <v>1</v>
          </cell>
        </row>
        <row r="23">
          <cell r="D23">
            <v>3</v>
          </cell>
          <cell r="E23">
            <v>1</v>
          </cell>
          <cell r="H23">
            <v>3</v>
          </cell>
          <cell r="I23">
            <v>1</v>
          </cell>
          <cell r="L23">
            <v>4</v>
          </cell>
          <cell r="M23">
            <v>2</v>
          </cell>
          <cell r="P23">
            <v>1</v>
          </cell>
          <cell r="Q23">
            <v>1</v>
          </cell>
        </row>
        <row r="24">
          <cell r="D24">
            <v>4</v>
          </cell>
          <cell r="E24">
            <v>1</v>
          </cell>
          <cell r="H24">
            <v>4</v>
          </cell>
          <cell r="I24">
            <v>1</v>
          </cell>
          <cell r="L24">
            <v>4</v>
          </cell>
          <cell r="M24">
            <v>1</v>
          </cell>
          <cell r="P24">
            <v>3</v>
          </cell>
          <cell r="Q24">
            <v>0</v>
          </cell>
        </row>
        <row r="25">
          <cell r="D25">
            <v>2</v>
          </cell>
          <cell r="E25">
            <v>2</v>
          </cell>
          <cell r="H25">
            <v>2</v>
          </cell>
          <cell r="I25">
            <v>2</v>
          </cell>
          <cell r="L25">
            <v>2</v>
          </cell>
          <cell r="M25">
            <v>2</v>
          </cell>
          <cell r="P25">
            <v>1</v>
          </cell>
          <cell r="Q25">
            <v>1</v>
          </cell>
        </row>
        <row r="26">
          <cell r="D26">
            <v>3</v>
          </cell>
          <cell r="E26">
            <v>2</v>
          </cell>
          <cell r="H26">
            <v>3</v>
          </cell>
          <cell r="I26">
            <v>2</v>
          </cell>
          <cell r="L26">
            <v>3</v>
          </cell>
          <cell r="M26">
            <v>2</v>
          </cell>
          <cell r="P26">
            <v>2</v>
          </cell>
          <cell r="Q26">
            <v>1</v>
          </cell>
        </row>
        <row r="27">
          <cell r="D27">
            <v>4</v>
          </cell>
          <cell r="E27">
            <v>1</v>
          </cell>
          <cell r="H27">
            <v>4</v>
          </cell>
          <cell r="I27">
            <v>1</v>
          </cell>
          <cell r="L27">
            <v>4</v>
          </cell>
          <cell r="M27">
            <v>1</v>
          </cell>
          <cell r="P27">
            <v>3</v>
          </cell>
          <cell r="Q27">
            <v>0</v>
          </cell>
        </row>
        <row r="28">
          <cell r="D28">
            <v>4</v>
          </cell>
          <cell r="E28">
            <v>1</v>
          </cell>
          <cell r="H28">
            <v>4</v>
          </cell>
          <cell r="I28">
            <v>1</v>
          </cell>
          <cell r="L28">
            <v>5</v>
          </cell>
          <cell r="M28">
            <v>1</v>
          </cell>
          <cell r="P28">
            <v>5</v>
          </cell>
          <cell r="Q2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ulo"/>
      <sheetName val="Bax de Luxe"/>
      <sheetName val="Nobody"/>
      <sheetName val="Pinguins on Fire"/>
      <sheetName val="Pitti"/>
      <sheetName val="Himmelfahrtskommando"/>
      <sheetName val="Niemals zu den Bayern"/>
      <sheetName val="Markus"/>
      <sheetName val="Rainer"/>
      <sheetName val="Sarah"/>
      <sheetName val="NN"/>
    </sheetNames>
    <sheetDataSet>
      <sheetData sheetId="0">
        <row r="3">
          <cell r="B3">
            <v>3</v>
          </cell>
        </row>
      </sheetData>
      <sheetData sheetId="1">
        <row r="3">
          <cell r="B3">
            <v>8</v>
          </cell>
        </row>
      </sheetData>
      <sheetData sheetId="2">
        <row r="3">
          <cell r="B3">
            <v>3</v>
          </cell>
        </row>
      </sheetData>
      <sheetData sheetId="3">
        <row r="3">
          <cell r="B3">
            <v>3</v>
          </cell>
        </row>
      </sheetData>
      <sheetData sheetId="4">
        <row r="3">
          <cell r="B3">
            <v>4</v>
          </cell>
        </row>
      </sheetData>
      <sheetData sheetId="5">
        <row r="3">
          <cell r="B3">
            <v>3</v>
          </cell>
        </row>
      </sheetData>
      <sheetData sheetId="6">
        <row r="3">
          <cell r="B3">
            <v>10</v>
          </cell>
        </row>
      </sheetData>
      <sheetData sheetId="7">
        <row r="3">
          <cell r="B3">
            <v>22</v>
          </cell>
        </row>
      </sheetData>
      <sheetData sheetId="8">
        <row r="3">
          <cell r="B3">
            <v>4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F88"/>
  <sheetViews>
    <sheetView workbookViewId="0">
      <selection activeCell="C2" sqref="C2"/>
    </sheetView>
  </sheetViews>
  <sheetFormatPr baseColWidth="10" defaultColWidth="11.42578125" defaultRowHeight="12.75" x14ac:dyDescent="0.2"/>
  <cols>
    <col min="1" max="1" width="21" style="5" customWidth="1"/>
    <col min="2" max="2" width="11.42578125" style="5"/>
    <col min="3" max="5" width="4.42578125" style="5" customWidth="1"/>
    <col min="6" max="16384" width="11.42578125" style="5"/>
  </cols>
  <sheetData>
    <row r="1" spans="1:6" x14ac:dyDescent="0.2">
      <c r="A1" s="1" t="str">
        <f>Auswertung!D1</f>
        <v>Hoffenheim</v>
      </c>
      <c r="B1" s="2" t="str">
        <f>Auswertung!E1</f>
        <v>München</v>
      </c>
      <c r="C1" s="3">
        <f>Auswertung!I1</f>
        <v>4</v>
      </c>
      <c r="D1" s="4">
        <f>Auswertung!J1</f>
        <v>2</v>
      </c>
    </row>
    <row r="2" spans="1:6" x14ac:dyDescent="0.2">
      <c r="A2" s="1" t="str">
        <f>Auswertung!D2</f>
        <v>Frankfurt</v>
      </c>
      <c r="B2" s="2" t="str">
        <f>Auswertung!E2</f>
        <v>Leipzig</v>
      </c>
      <c r="C2" s="3">
        <f>Auswertung!I2</f>
        <v>2</v>
      </c>
      <c r="D2" s="4">
        <f>Auswertung!J2</f>
        <v>2</v>
      </c>
    </row>
    <row r="3" spans="1:6" x14ac:dyDescent="0.2">
      <c r="A3" s="1" t="str">
        <f>Auswertung!D3</f>
        <v>Union Berlin</v>
      </c>
      <c r="B3" s="2" t="str">
        <f>Auswertung!E3</f>
        <v>Freiburg</v>
      </c>
      <c r="C3" s="3">
        <f>Auswertung!I3</f>
        <v>2</v>
      </c>
      <c r="D3" s="4">
        <f>Auswertung!J3</f>
        <v>1</v>
      </c>
    </row>
    <row r="4" spans="1:6" x14ac:dyDescent="0.2">
      <c r="A4" s="1" t="str">
        <f>Auswertung!D4</f>
        <v>Wolfsburg</v>
      </c>
      <c r="B4" s="2" t="str">
        <f>Auswertung!E4</f>
        <v>Mainz</v>
      </c>
      <c r="C4" s="3">
        <f>Auswertung!I4</f>
        <v>1</v>
      </c>
      <c r="D4" s="4">
        <f>Auswertung!J4</f>
        <v>3</v>
      </c>
    </row>
    <row r="5" spans="1:6" x14ac:dyDescent="0.2">
      <c r="A5" s="1" t="str">
        <f>Auswertung!D5</f>
        <v>Stuttgart</v>
      </c>
      <c r="B5" s="2" t="str">
        <f>Auswertung!E5</f>
        <v>M'gladbach</v>
      </c>
      <c r="C5" s="3">
        <f>Auswertung!I5</f>
        <v>4</v>
      </c>
      <c r="D5" s="4">
        <f>Auswertung!J5</f>
        <v>0</v>
      </c>
    </row>
    <row r="6" spans="1:6" x14ac:dyDescent="0.2">
      <c r="A6" s="1" t="str">
        <f>Auswertung!D6</f>
        <v>Heidenheim</v>
      </c>
      <c r="B6" s="2" t="str">
        <f>Auswertung!E6</f>
        <v>Köln</v>
      </c>
      <c r="C6" s="3">
        <f>Auswertung!I6</f>
        <v>4</v>
      </c>
      <c r="D6" s="4">
        <f>Auswertung!J6</f>
        <v>1</v>
      </c>
    </row>
    <row r="7" spans="1:6" x14ac:dyDescent="0.2">
      <c r="A7" s="1" t="str">
        <f>Auswertung!D7</f>
        <v>Bremen</v>
      </c>
      <c r="B7" s="2" t="str">
        <f>Auswertung!E7</f>
        <v>Bochum</v>
      </c>
      <c r="C7" s="3">
        <f>Auswertung!I7</f>
        <v>4</v>
      </c>
      <c r="D7" s="4">
        <f>Auswertung!J7</f>
        <v>1</v>
      </c>
    </row>
    <row r="8" spans="1:6" x14ac:dyDescent="0.2">
      <c r="A8" s="1" t="str">
        <f>Auswertung!D8</f>
        <v>Leverkusen</v>
      </c>
      <c r="B8" s="2" t="str">
        <f>Auswertung!E8</f>
        <v>Augsburg</v>
      </c>
      <c r="C8" s="3">
        <f>Auswertung!I8</f>
        <v>2</v>
      </c>
      <c r="D8" s="4">
        <f>Auswertung!J8</f>
        <v>1</v>
      </c>
    </row>
    <row r="9" spans="1:6" x14ac:dyDescent="0.2">
      <c r="A9" s="1" t="str">
        <f>Auswertung!D9</f>
        <v>Dortmund</v>
      </c>
      <c r="B9" s="2" t="str">
        <f>Auswertung!E9</f>
        <v>Darmstadt</v>
      </c>
      <c r="C9" s="3">
        <f>Auswertung!I9</f>
        <v>4</v>
      </c>
      <c r="D9" s="4">
        <f>Auswertung!J9</f>
        <v>0</v>
      </c>
    </row>
    <row r="12" spans="1:6" x14ac:dyDescent="0.2">
      <c r="A12" s="6" t="s">
        <v>49</v>
      </c>
      <c r="B12" s="6">
        <f t="shared" ref="B12:B47" si="0">SUM(C12:E12)</f>
        <v>2</v>
      </c>
      <c r="C12" s="6" t="str">
        <f>IF($A$1="München",$C$1,IF($A$2="München",$C$2,IF($A$3="München",$C$3,IF($A$4="München",$C$4,IF($A$5="München",$C$5,IF($A$6="München",$C$6,IF($A$7="München",$C$7,IF($A$7="München",$C$7,""))))))))</f>
        <v/>
      </c>
      <c r="D12" s="6">
        <f>IF($A$8="München",$C$8,IF($A$9="München",$C$9,IF($B$1="München",$D$1,IF($B$2="München",$D$2,IF($B$3="München",$D$3,IF($B$4="München",$D$4,IF($B$5="München",$D$5,IF($B$6="München",$D$6,""))))))))</f>
        <v>2</v>
      </c>
      <c r="E12" s="6" t="str">
        <f>IF($B$7="München",$D$7,IF($B$8="München",$D$8,IF($B$9="München",$D$9,"")))</f>
        <v/>
      </c>
      <c r="F12" s="6"/>
    </row>
    <row r="13" spans="1:6" ht="13.5" thickBot="1" x14ac:dyDescent="0.25">
      <c r="A13" s="7" t="s">
        <v>50</v>
      </c>
      <c r="B13" s="7">
        <f t="shared" si="0"/>
        <v>4</v>
      </c>
      <c r="C13" s="7" t="str">
        <f>IF($A$1="München",$D$1,IF($A$2="München",$D$2,IF($A$3="München",$D$3,IF($A$4="München",$D$4,IF($A$5="München",$D$5,IF($A$6="München",$D$6,IF($A$7="München",$D$7,IF($A$7="München",$D$7,""))))))))</f>
        <v/>
      </c>
      <c r="D13" s="7">
        <f>IF($A$8="München",$D$8,IF($A$9="München",$D$9,IF($B$1="München",$C$1,IF($B$2="München",$C$2,IF($B$3="München",$C$3,IF($B$4="München",$C$4,IF($B$5="München",$C$5,IF($B$6="München",$C$6,""))))))))</f>
        <v>4</v>
      </c>
      <c r="E13" s="7" t="str">
        <f>IF($B$7="München",$C$7,IF($B$8="München",$C$8,IF($B$9="München",$C$9,"")))</f>
        <v/>
      </c>
      <c r="F13" s="6"/>
    </row>
    <row r="14" spans="1:6" x14ac:dyDescent="0.2">
      <c r="A14" s="6" t="s">
        <v>318</v>
      </c>
      <c r="B14" s="6">
        <f t="shared" si="0"/>
        <v>4</v>
      </c>
      <c r="C14" s="6">
        <f>IF($A$1="Bremen",$C$1,IF($A$2="Bremen",$C$2,IF($A$3="Bremen",$C$3,IF($A$4="Bremen",$C$4,IF($A$5="Bremen",$C$5,IF($A$6="Bremen",$C$6,IF($A$7="Bremen",$C$7,IF($A$7="Bremen",$C$7,""))))))))</f>
        <v>4</v>
      </c>
      <c r="D14" s="6" t="str">
        <f>IF($A$8="Bremen",$C$8,IF($A$9="Bremen",$C$9,IF($B$1="Bremen",$D$1,IF($B$2="Bremen",$D$2,IF($B$3="Bremen",$D$3,IF($B$4="Bremen",$D$4,IF($B$5="Bremen",$D$5,IF($B$6="Bremen",$D$6,""))))))))</f>
        <v/>
      </c>
      <c r="E14" s="6" t="str">
        <f>IF($B$7="Bremen",$D$7,IF($B$8="Bremen",$D$8,IF($B$9="Bremen",$D$9,"")))</f>
        <v/>
      </c>
      <c r="F14" s="6"/>
    </row>
    <row r="15" spans="1:6" ht="13.5" thickBot="1" x14ac:dyDescent="0.25">
      <c r="A15" s="7" t="s">
        <v>319</v>
      </c>
      <c r="B15" s="7">
        <f t="shared" si="0"/>
        <v>1</v>
      </c>
      <c r="C15" s="7">
        <f>IF($A$1="Bremen",$D$1,IF($A$2="Bremen",$D$2,IF($A$3="Bremen",$D$3,IF($A$4="Bremen",$D$4,IF($A$5="Bremen",$D$5,IF($A$6="Bremen",$D$6,IF($A$7="Bremen",$D$7,IF($A$7="Bremen",$D$7,""))))))))</f>
        <v>1</v>
      </c>
      <c r="D15" s="7" t="str">
        <f>IF($A$8="Bremen",$D$8,IF($A$9="Bremen",$D$9,IF($B$1="Bremen",$C$1,IF($B$2="Bremen",$C$2,IF($B$3="Bremen",$C$3,IF($B$4="Bremen",$C$4,IF($B$5="Bremen",$C$5,IF($B$6="Bremen",$C$6,""))))))))</f>
        <v/>
      </c>
      <c r="E15" s="7" t="str">
        <f>IF($B$7="Bremen",$C$7,IF($B$8="Bremen",$C$8,IF($B$9="Bremen",$C$9,"")))</f>
        <v/>
      </c>
      <c r="F15" s="6"/>
    </row>
    <row r="16" spans="1:6" x14ac:dyDescent="0.2">
      <c r="A16" s="6" t="s">
        <v>34</v>
      </c>
      <c r="B16" s="6">
        <f t="shared" si="0"/>
        <v>4</v>
      </c>
      <c r="C16" s="6" t="str">
        <f>IF($A$1="Dortmund",$C$1,IF($A$2="Dortmund",$C$2,IF($A$3="Dortmund",$C$3,IF($A$4="Dortmund",$C$4,IF($A$5="Dortmund",$C$5,IF($A$6="Dortmund",$C$6,IF($A$7="Dortmund",$C$7,IF($A$7="Dortmund",$C$7,""))))))))</f>
        <v/>
      </c>
      <c r="D16" s="6">
        <f>IF($A$8="Dortmund",$C$8,IF($A$9="Dortmund",$C$9,IF($B$1="Dortmund",$D$1,IF($B$2="Dortmund",$D$2,IF($B$3="Dortmund",$D$3,IF($B$4="Dortmund",$D$4,IF($B$5="Dortmund",$D$5,IF($B$6="Dortmund",$D$6,""))))))))</f>
        <v>4</v>
      </c>
      <c r="E16" s="6" t="str">
        <f>IF($B$7="Dortmund",$D$7,IF($B$8="Dortmund",$D$8,IF($B$9="Dortmund",$D$9,"")))</f>
        <v/>
      </c>
      <c r="F16" s="6"/>
    </row>
    <row r="17" spans="1:6" ht="13.5" thickBot="1" x14ac:dyDescent="0.25">
      <c r="A17" s="7" t="s">
        <v>35</v>
      </c>
      <c r="B17" s="7">
        <f t="shared" si="0"/>
        <v>0</v>
      </c>
      <c r="C17" s="7" t="str">
        <f>IF($A$1="Dortmund",$D$1,IF($A$2="Dortmund",$D$2,IF($A$3="Dortmund",$D$3,IF($A$4="Dortmund",$D$4,IF($A$5="Dortmund",$D$5,IF($A$6="Dortmund",$D$6,IF($A$7="Dortmund",$D$7,IF($A$7="Dortmund",$D$7,""))))))))</f>
        <v/>
      </c>
      <c r="D17" s="7">
        <f>IF($A$8="Dortmund",$D$8,IF($A$9="Dortmund",$D$9,IF($B$1="Dortmund",$C$1,IF($B$2="Dortmund",$C$2,IF($B$3="Dortmund",$C$3,IF($B$4="Dortmund",$C$4,IF($B$5="Dortmund",$C$5,IF($B$6="Dortmund",$C$6,""))))))))</f>
        <v>0</v>
      </c>
      <c r="E17" s="7" t="str">
        <f>IF($B$7="Dortmund",$C$7,IF($B$8="Dortmund",$C$8,IF($B$9="Dortmund",$C$9,"")))</f>
        <v/>
      </c>
      <c r="F17" s="6"/>
    </row>
    <row r="18" spans="1:6" x14ac:dyDescent="0.2">
      <c r="A18" s="6" t="s">
        <v>36</v>
      </c>
      <c r="B18" s="6">
        <f t="shared" si="0"/>
        <v>2</v>
      </c>
      <c r="C18" s="6" t="str">
        <f>IF($A$1="Leverkusen",$C$1,IF($A$2="Leverkusen",$C$2,IF($A$3="Leverkusen",$C$3,IF($A$4="Leverkusen",$C$4,IF($A$5="Leverkusen",$C$5,IF($A$6="Leverkusen",$C$6,IF($A$7="Leverkusen",$C$7,IF($A$7="Leverkusen",$C$7,""))))))))</f>
        <v/>
      </c>
      <c r="D18" s="6">
        <f>IF($A$8="Leverkusen",$C$8,IF($A$9="Leverkusen",$C$9,IF($B$1="Leverkusen",$D$1,IF($B$2="Leverkusen",$D$2,IF($B$3="Leverkusen",$D$3,IF($B$4="Leverkusen",$D$4,IF($B$5="Leverkusen",$D$5,IF($B$6="Leverkusen",$D$6,""))))))))</f>
        <v>2</v>
      </c>
      <c r="E18" s="6" t="str">
        <f>IF($B$7="Leverkusen",$D$7,IF($B$8="Leverkusen",$D$8,IF($B$9="Leverkusen",$D$9,"")))</f>
        <v/>
      </c>
      <c r="F18" s="6"/>
    </row>
    <row r="19" spans="1:6" ht="13.5" thickBot="1" x14ac:dyDescent="0.25">
      <c r="A19" s="7" t="s">
        <v>37</v>
      </c>
      <c r="B19" s="7">
        <f t="shared" si="0"/>
        <v>1</v>
      </c>
      <c r="C19" s="7" t="str">
        <f>IF($A$1="Leverkusen",$D$1,IF($A$2="Leverkusen",$D$2,IF($A$3="Leverkusen",$D$3,IF($A$4="Leverkusen",$D$4,IF($A$5="Leverkusen",$D$5,IF($A$6="Leverkusen",$D$6,IF($A$7="Leverkusen",$D$7,IF($A$7="Leverkusen",$D$7,""))))))))</f>
        <v/>
      </c>
      <c r="D19" s="7">
        <f>IF($A$8="Leverkusen",$D$8,IF($A$9="Leverkusen",$D$9,IF($B$1="Leverkusen",$C$1,IF($B$2="Leverkusen",$C$2,IF($B$3="Leverkusen",$C$3,IF($B$4="Leverkusen",$C$4,IF($B$5="Leverkusen",$C$5,IF($B$6="Leverkusen",$C$6,""))))))))</f>
        <v>1</v>
      </c>
      <c r="E19" s="7" t="str">
        <f>IF($B$7="Leverkusen",$C$7,IF($B$8="Leverkusen",$C$8,IF($B$9="Leverkusen",$C$9,"")))</f>
        <v/>
      </c>
      <c r="F19" s="6"/>
    </row>
    <row r="20" spans="1:6" x14ac:dyDescent="0.2">
      <c r="A20" s="6" t="s">
        <v>400</v>
      </c>
      <c r="B20" s="6">
        <f t="shared" si="0"/>
        <v>0</v>
      </c>
      <c r="C20" s="6" t="str">
        <f>IF($A$1="Darmstadt",$C$1,IF($A$2="Darmstadt",$C$2,IF($A$3="Darmstadt",$C$3,IF($A$4="Darmstadt",$C$4,IF($A$5="Darmstadt",$C$5,IF($A$6="Darmstadt",$C$6,IF($A$7="Darmstadt",$C$7,IF($A$7="Darmstadt",$C$7,""))))))))</f>
        <v/>
      </c>
      <c r="D20" s="6" t="str">
        <f>IF($A$8="Darmstadt",$C$8,IF($A$9="Darmstadt",$C$9,IF($B$1="Darmstadt",$D$1,IF($B$2="Darmstadt",$D$2,IF($B$3="Darmstadt",$D$3,IF($B$4="Darmstadt",$D$4,IF($B$5="Darmstadt",$D$5,IF($B$6="Darmstadt",$D$6,""))))))))</f>
        <v/>
      </c>
      <c r="E20" s="6">
        <f>IF($B$7="Darmstadt",$D$7,IF($B$8="Darmstadt",$D$8,IF($B$9="Darmstadt",$D$9,"")))</f>
        <v>0</v>
      </c>
      <c r="F20" s="6"/>
    </row>
    <row r="21" spans="1:6" ht="13.5" thickBot="1" x14ac:dyDescent="0.25">
      <c r="A21" s="7" t="s">
        <v>401</v>
      </c>
      <c r="B21" s="7">
        <f t="shared" si="0"/>
        <v>4</v>
      </c>
      <c r="C21" s="7" t="str">
        <f>IF($A$1="Darmstadt",$D$1,IF($A$2="Darmstadt",$D$2,IF($A$3="Darmstadt",$D$3,IF($A$4="Darmstadt",$D$4,IF($A$5="Darmstadt",$D$5,IF($A$6="Darmstadt",$D$6,IF($A$7="Darmstadt",$D$7,IF($A$7="Darmstadt",$D$7,""))))))))</f>
        <v/>
      </c>
      <c r="D21" s="7" t="str">
        <f>IF($A$8="Darmstadt",$D$8,IF($A$9="Darmstadt",$D$9,IF($B$1="Darmstadt",$C$1,IF($B$2="Darmstadt",$C$2,IF($B$3="Darmstadt",$C$3,IF($B$4="Darmstadt",$C$4,IF($B$5="Darmstadt",$C$5,IF($B$6="Darmstadt",$C$6,""))))))))</f>
        <v/>
      </c>
      <c r="E21" s="7">
        <f>IF($B$7="Darmstadt",$C$7,IF($B$8="Darmstadt",$C$8,IF($B$9="Darmstadt",$C$9,"")))</f>
        <v>4</v>
      </c>
      <c r="F21" s="6"/>
    </row>
    <row r="22" spans="1:6" x14ac:dyDescent="0.2">
      <c r="A22" s="5" t="s">
        <v>130</v>
      </c>
      <c r="B22" s="6">
        <f t="shared" si="0"/>
        <v>2</v>
      </c>
      <c r="C22" s="6" t="str">
        <f>IF($A$1="Leipzig",$C$1,IF($A$2="Leipzig",$C$2,IF($A$3="Leipzig",$C$3,IF($A$4="Leipzig",$C$4,IF($A$5="Leipzig",$C$5,IF($A$6="Leipzig",$C$6,IF($A$7="Leipzig",$C$7,IF($A$7="Leipzig",$C$7,""))))))))</f>
        <v/>
      </c>
      <c r="D22" s="6">
        <f>IF($A$8="Leipzig",$C$8,IF($A$9="Leipzig",$C$9,IF($B$1="Leipzig",$D$1,IF($B$2="Leipzig",$D$2,IF($B$3="Leipzig",$D$3,IF($B$4="Leipzig",$D$4,IF($B$5="Leipzig",$D$5,IF($B$6="Leipzig",$D$6,""))))))))</f>
        <v>2</v>
      </c>
      <c r="E22" s="6" t="str">
        <f>IF($B$7="Leipzig",$D$7,IF($B$8="Leipzig",$D$8,IF($B$9="Leipzig",$D$9,"")))</f>
        <v/>
      </c>
      <c r="F22" s="6"/>
    </row>
    <row r="23" spans="1:6" ht="13.5" thickBot="1" x14ac:dyDescent="0.25">
      <c r="A23" s="167" t="s">
        <v>131</v>
      </c>
      <c r="B23" s="7">
        <f t="shared" si="0"/>
        <v>2</v>
      </c>
      <c r="C23" s="7" t="str">
        <f>IF($A$1="Leipzig",$D$1,IF($A$2="Leipzig",$D$2,IF($A$3="Leipzig",$D$3,IF($A$4="Leipzig",$D$4,IF($A$5="Leipzig",$D$5,IF($A$6="Leipzig",$D$6,IF($A$7="Leipzig",$D$7,IF($A$7="Leipzig",$D$7,""))))))))</f>
        <v/>
      </c>
      <c r="D23" s="7">
        <f>IF($A$8="Leipzig",$D$8,IF($A$9="Leipzig",$D$9,IF($B$1="Leipzig",$C$1,IF($B$2="Leipzig",$C$2,IF($B$3="Leipzig",$C$3,IF($B$4="Leipzig",$C$4,IF($B$5="Leipzig",$C$5,IF($B$6="Leipzig",$C$6,""))))))))</f>
        <v>2</v>
      </c>
      <c r="E23" s="7" t="str">
        <f>IF($B$7="Leipzig",$C$7,IF($B$8="Leipzig",$C$8,IF($B$9="Leipzig",$C$9,"")))</f>
        <v/>
      </c>
      <c r="F23" s="6"/>
    </row>
    <row r="24" spans="1:6" x14ac:dyDescent="0.2">
      <c r="A24" s="6" t="s">
        <v>260</v>
      </c>
      <c r="B24" s="6">
        <f t="shared" si="0"/>
        <v>1</v>
      </c>
      <c r="C24" s="6" t="str">
        <f>IF($A$1="Bochum",$C$1,IF($A$2="Bochum",$C$2,IF($A$3="Bochum",$C$3,IF($A$4="Bochum",$C$4,IF($A$5="Bochum",$C$5,IF($A$6="Bochum",$C$6,IF($A$7="Bochum",$C$7,IF($A$7="Bochum",$C$7,""))))))))</f>
        <v/>
      </c>
      <c r="D24" s="6" t="str">
        <f>IF($A$8="Bochum",$C$8,IF($A$9="Bochum",$C$9,IF($B$1="Bochum",$D$1,IF($B$2="Bochum",$D$2,IF($B$3="Bochum",$D$3,IF($B$4="Bochum",$D$4,IF($B$5="Bochum",$D$5,IF($B$6="Bochum",$D$6,""))))))))</f>
        <v/>
      </c>
      <c r="E24" s="6">
        <f>IF($B$7="Bochum",$D$7,IF($B$8="Bochum",$D$8,IF($B$9="Bochum",$D$9,"")))</f>
        <v>1</v>
      </c>
      <c r="F24" s="6"/>
    </row>
    <row r="25" spans="1:6" ht="13.5" thickBot="1" x14ac:dyDescent="0.25">
      <c r="A25" s="7" t="s">
        <v>261</v>
      </c>
      <c r="B25" s="7">
        <f t="shared" si="0"/>
        <v>4</v>
      </c>
      <c r="C25" s="7" t="str">
        <f>IF($A$1="Bochum",$D$1,IF($A$2="Bochum",$D$2,IF($A$3="Bochum",$D$3,IF($A$4="Bochum",$D$4,IF($A$5="Bochum",$D$5,IF($A$6="Bochum",$D$6,IF($A$7="Bochum",$D$7,IF($A$7="Bochum",$D$7,""))))))))</f>
        <v/>
      </c>
      <c r="D25" s="7" t="str">
        <f>IF($A$8="Bochum",$D$8,IF($A$9="Bochum",$D$9,IF($B$1="Bochum",$C$1,IF($B$2="Bochum",$C$2,IF($B$3="Bochum",$C$3,IF($B$4="Bochum",$C$4,IF($B$5="Bochum",$C$5,IF($B$6="Bochum",$C$6,""))))))))</f>
        <v/>
      </c>
      <c r="E25" s="7">
        <f>IF($B$7="Bochum",$C$7,IF($B$8="Bochum",$C$8,IF($B$9="Bochum",$C$9,"")))</f>
        <v>4</v>
      </c>
      <c r="F25" s="6"/>
    </row>
    <row r="26" spans="1:6" x14ac:dyDescent="0.2">
      <c r="A26" s="6" t="s">
        <v>226</v>
      </c>
      <c r="B26" s="6">
        <f t="shared" si="0"/>
        <v>4</v>
      </c>
      <c r="C26" s="6">
        <f>IF($A$1="Stuttgart",$C$1,IF($A$2="Stuttgart",$C$2,IF($A$3="Stuttgart",$C$3,IF($A$4="Stuttgart",$C$4,IF($A$5="Stuttgart",$C$5,IF($A$6="Stuttgart",$C$6,IF($A$7="Stuttgart",$C$7,IF($A$7="Stuttgart",$C$7,""))))))))</f>
        <v>4</v>
      </c>
      <c r="D26" s="6" t="str">
        <f>IF($A$8="Stuttgart",$C$8,IF($A$9="Stuttgart",$C$9,IF($B$1="Stuttgart",$D$1,IF($B$2="Stuttgart",$D$2,IF($B$3="Stuttgart",$D$3,IF($B$4="Stuttgart",$D$4,IF($B$5="Stuttgart",$D$5,IF($B$6="Stuttgart",$D$6,""))))))))</f>
        <v/>
      </c>
      <c r="E26" s="6" t="str">
        <f>IF($B$7="Stuttgart",$D$7,IF($B$8="Stuttgart",$D$8,IF($B$9="Stuttgart",$D$9,"")))</f>
        <v/>
      </c>
      <c r="F26" s="6"/>
    </row>
    <row r="27" spans="1:6" ht="13.5" thickBot="1" x14ac:dyDescent="0.25">
      <c r="A27" s="7" t="s">
        <v>227</v>
      </c>
      <c r="B27" s="7">
        <f t="shared" si="0"/>
        <v>0</v>
      </c>
      <c r="C27" s="7">
        <f>IF($A$1="Stuttgart",$D$1,IF($A$2="Stuttgart",$D$2,IF($A$3="Stuttgart",$D$3,IF($A$4="Stuttgart",$D$4,IF($A$5="Stuttgart",$D$5,IF($A$6="Stuttgart",$D$6,IF($A$7="Stuttgart",$D$7,IF($A$7="Stuttgart",$D$7,""))))))))</f>
        <v>0</v>
      </c>
      <c r="D27" s="7" t="str">
        <f>IF($A$8="Stuttgart",$D$8,IF($A$9="Stuttgart",$D$9,IF($B$1="Stuttgart",$C$1,IF($B$2="Stuttgart",$C$2,IF($B$3="Stuttgart",$C$3,IF($B$4="Stuttgart",$C$4,IF($B$5="Stuttgart",$C$5,IF($B$6="Stuttgart",$C$6,""))))))))</f>
        <v/>
      </c>
      <c r="E27" s="7" t="str">
        <f>IF($B$7="Stuttgart",$C$7,IF($B$8="Stuttgart",$C$8,IF($B$9="Stuttgart",$C$9,"")))</f>
        <v/>
      </c>
      <c r="F27" s="6"/>
    </row>
    <row r="28" spans="1:6" x14ac:dyDescent="0.2">
      <c r="A28" s="6" t="s">
        <v>39</v>
      </c>
      <c r="B28" s="6">
        <f t="shared" si="0"/>
        <v>1</v>
      </c>
      <c r="C28" s="6">
        <f>IF($A$1="Wolfsburg",$C$1,IF($A$2="Wolfsburg",$C$2,IF($A$3="Wolfsburg",$C$3,IF($A$4="Wolfsburg",$C$4,IF($A$5="Wolfsburg",$C$5,IF($A$6="Wolfsburg",$C$6,IF($A$7="Wolfsburg",$C$7,IF($A$7="Wolfsburg",$C$7,""))))))))</f>
        <v>1</v>
      </c>
      <c r="D28" s="6" t="str">
        <f>IF($A$8="Wolfsburg",$C$8,IF($A$9="Wolfsburg",$C$9,IF($B$1="Wolfsburg",$D$1,IF($B$2="Wolfsburg",$D$2,IF($B$3="Wolfsburg",$D$3,IF($B$4="Wolfsburg",$D$4,IF($B$5="Wolfsburg",$D$5,IF($B$6="Wolfsburg",$D$6,""))))))))</f>
        <v/>
      </c>
      <c r="E28" s="6" t="str">
        <f>IF($B$7="Wolfsburg",$D$7,IF($B$8="Wolfsburg",$D$8,IF($B$9="Wolfsburg",$D$9,"")))</f>
        <v/>
      </c>
      <c r="F28" s="6"/>
    </row>
    <row r="29" spans="1:6" ht="13.5" thickBot="1" x14ac:dyDescent="0.25">
      <c r="A29" s="7" t="s">
        <v>38</v>
      </c>
      <c r="B29" s="7">
        <f t="shared" si="0"/>
        <v>3</v>
      </c>
      <c r="C29" s="7">
        <f>IF($A$1="Wolfsburg",$D$1,IF($A$2="Wolfsburg",$D$2,IF($A$3="Wolfsburg",$D$3,IF($A$4="Wolfsburg",$D$4,IF($A$5="Wolfsburg",$D$5,IF($A$6="Wolfsburg",$D$6,IF($A$7="Wolfsburg",$D$7,IF($A$7="Wolfsburg",$D$7,""))))))))</f>
        <v>3</v>
      </c>
      <c r="D29" s="7" t="str">
        <f>IF($A$8="Wolfsburg",$D$8,IF($A$9="Wolfsburg",$D$9,IF($B$1="Wolfsburg",$C$1,IF($B$2="Wolfsburg",$C$2,IF($B$3="Wolfsburg",$C$3,IF($B$4="Wolfsburg",$C$4,IF($B$5="Wolfsburg",$C$5,IF($B$6="Wolfsburg",$C$6,""))))))))</f>
        <v/>
      </c>
      <c r="E29" s="7" t="str">
        <f>IF($B$7="Wolfsburg",$C$7,IF($B$8="Wolfsburg",$C$8,IF($B$9="Wolfsburg",$C$9,"")))</f>
        <v/>
      </c>
      <c r="F29" s="6"/>
    </row>
    <row r="30" spans="1:6" x14ac:dyDescent="0.2">
      <c r="A30" s="6" t="s">
        <v>71</v>
      </c>
      <c r="B30" s="6">
        <f t="shared" si="0"/>
        <v>4</v>
      </c>
      <c r="C30" s="6">
        <f>IF($A$1="Hoffenheim",$C$1,IF($A$2="Hoffenheim",$C$2,IF($A$3="Hoffenheim",$C$3,IF($A$4="Hoffenheim",$C$4,IF($A$5="Hoffenheim",$C$5,IF($A$6="Hoffenheim",$C$6,IF($A$7="Hoffenheim",$C$7,IF($A$7="Hoffenheim",$C$7,""))))))))</f>
        <v>4</v>
      </c>
      <c r="D30" s="6" t="str">
        <f>IF($A$8="Hoffenheim",$C$8,IF($A$9="Hoffenheim",$C$9,IF($B$1="Hoffenheim",$D$1,IF($B$2="Hoffenheim",$D$2,IF($B$3="Hoffenheim",$D$3,IF($B$4="Hoffenheim",$D$4,IF($B$5="Hoffenheim",$D$5,IF($B$6="Hoffenheim",$D$6,""))))))))</f>
        <v/>
      </c>
      <c r="E30" s="6" t="str">
        <f>IF($B$7="Hoffenheim",$D$7,IF($B$8="Hoffenheim",$D$8,IF($B$9="Hoffenheim",$D$9,"")))</f>
        <v/>
      </c>
      <c r="F30" s="6"/>
    </row>
    <row r="31" spans="1:6" ht="13.5" thickBot="1" x14ac:dyDescent="0.25">
      <c r="A31" s="7" t="s">
        <v>72</v>
      </c>
      <c r="B31" s="7">
        <f t="shared" si="0"/>
        <v>2</v>
      </c>
      <c r="C31" s="7">
        <f>IF($A$1="Hoffenheim",$D$1,IF($A$2="Hoffenheim",$D$2,IF($A$3="Hoffenheim",$D$3,IF($A$4="Hoffenheim",$D$4,IF($A$5="Hoffenheim",$D$5,IF($A$6="Hoffenheim",$D$6,IF($A$7="Hoffenheim",$D$7,IF($A$7="Hoffenheim",$D$7,""))))))))</f>
        <v>2</v>
      </c>
      <c r="D31" s="7" t="str">
        <f>IF($A$8="Hoffenheim",$D$8,IF($A$9="Hoffenheim",$D$9,IF($B$1="Hoffenheim",$C$1,IF($B$2="Hoffenheim",$C$2,IF($B$3="Hoffenheim",$C$3,IF($B$4="Hoffenheim",$C$4,IF($B$5="Hoffenheim",$C$5,IF($B$6="Hoffenheim",$C$6,""))))))))</f>
        <v/>
      </c>
      <c r="E31" s="7" t="str">
        <f>IF($B$7="Hoffenheim",$C$7,IF($B$8="Hoffenheim",$C$8,IF($B$9="Hoffenheim",$C$9,"")))</f>
        <v/>
      </c>
      <c r="F31" s="6"/>
    </row>
    <row r="32" spans="1:6" x14ac:dyDescent="0.2">
      <c r="A32" s="6" t="s">
        <v>179</v>
      </c>
      <c r="B32" s="6">
        <f t="shared" si="0"/>
        <v>2</v>
      </c>
      <c r="C32" s="6">
        <f>IF($A$1="Union Berlin",$C$1,IF($A$2="Union Berlin",$C$2,IF($A$3="Union Berlin",$C$3,IF($A$4="Union Berlin",$C$4,IF($A$5="Union Berlin",$C$5,IF($A$6="Union Berlin",$C$6,IF($A$7="Union Berlin",$C$7,IF($A$7="Union Berlin",$C$7,""))))))))</f>
        <v>2</v>
      </c>
      <c r="D32" s="6" t="str">
        <f>IF($A$8="Union Berlin",$C$8,IF($A$9="Union Berlin",$C$9,IF($B$1="Union Berlin",$D$1,IF($B$2="Union Berlin",$D$2,IF($B$3="Union Berlin",$D$3,IF($B$4="Union Berlin",$D$4,IF($B$5="Union Berlin",$D$5,IF($B$6="Union Berlin",$D$6,""))))))))</f>
        <v/>
      </c>
      <c r="E32" s="6" t="str">
        <f>IF($B$7="Union Berlin",$D$7,IF($B$8="Union Berlin",$D$8,IF($B$9="Union Berlin",$D$9,"")))</f>
        <v/>
      </c>
      <c r="F32" s="6"/>
    </row>
    <row r="33" spans="1:6" ht="13.5" thickBot="1" x14ac:dyDescent="0.25">
      <c r="A33" s="7" t="s">
        <v>180</v>
      </c>
      <c r="B33" s="7">
        <f t="shared" si="0"/>
        <v>1</v>
      </c>
      <c r="C33" s="7">
        <f>IF($A$1="Union Berlin",$D$1,IF($A$2="Union Berlin",$D$2,IF($A$3="Union Berlin",$D$3,IF($A$4="Union Berlin",$D$4,IF($A$5="Union Berlin",$D$5,IF($A$6="Union Berlin",$D$6,IF($A$7="Union Berlin",$D$7,IF($A$7="Union Berlin",$D$7,""))))))))</f>
        <v>1</v>
      </c>
      <c r="D33" s="7" t="str">
        <f>IF($A$8="Union Berlin",$D$8,IF($A$9="Union Berlin",$D$9,IF($B$1="Union Berlin",$C$1,IF($B$2="Union Berlin",$C$2,IF($B$3="Union Berlin",$C$3,IF($B$4="Union Berlin",$C$4,IF($B$5="Union Berlin",$C$5,IF($B$6="Union Berlin",$C$6,""))))))))</f>
        <v/>
      </c>
      <c r="E33" s="7" t="str">
        <f>IF($B$7="Union Berlin",$C$7,IF($B$8="Union Berlin",$C$8,IF($B$9="Union Berlin",$C$9,"")))</f>
        <v/>
      </c>
      <c r="F33" s="6"/>
    </row>
    <row r="34" spans="1:6" x14ac:dyDescent="0.2">
      <c r="A34" s="6" t="s">
        <v>174</v>
      </c>
      <c r="B34" s="6">
        <f t="shared" si="0"/>
        <v>1</v>
      </c>
      <c r="C34" s="6" t="str">
        <f>IF($A$1="Köln",$C$1,IF($A$2="Köln",$C$2,IF($A$3="Köln",$C$3,IF($A$4="Köln",$C$4,IF($A$5="Köln",$C$5,IF($A$6="Köln",$C$6,IF($A$7="Köln",$C$7,IF($A$7="Köln",$C$7,""))))))))</f>
        <v/>
      </c>
      <c r="D34" s="6">
        <f>IF($A$8="Köln",$C$8,IF($A$9="Köln",$C$9,IF($B$1="Köln",$D$1,IF($B$2="Köln",$D$2,IF($B$3="Köln",$D$3,IF($B$4="Köln",$D$4,IF($B$5="Köln",$D$5,IF($B$6="Köln",$D$6,""))))))))</f>
        <v>1</v>
      </c>
      <c r="E34" s="6" t="str">
        <f>IF($B$7="Köln",$D$7,IF($B$8="Köln",$D$8,IF($B$9="Köln",$D$9,"")))</f>
        <v/>
      </c>
      <c r="F34" s="6"/>
    </row>
    <row r="35" spans="1:6" ht="13.5" thickBot="1" x14ac:dyDescent="0.25">
      <c r="A35" s="7" t="s">
        <v>175</v>
      </c>
      <c r="B35" s="7">
        <f t="shared" si="0"/>
        <v>4</v>
      </c>
      <c r="C35" s="7" t="str">
        <f>IF($A$1="Köln",$D$1,IF($A$2="Köln",$D$2,IF($A$3="Köln",$D$3,IF($A$4="Köln",$D$4,IF($A$5="Köln",$D$5,IF($A$6="Köln",$D$6,IF($A$7="Köln",$D$7,IF($A$7="Köln",$D$7,""))))))))</f>
        <v/>
      </c>
      <c r="D35" s="7">
        <f>IF($A$8="Köln",$D$8,IF($A$9="Köln",$D$9,IF($B$1="Köln",$C$1,IF($B$2="Köln",$C$2,IF($B$3="Köln",$C$3,IF($B$4="Köln",$C$4,IF($B$5="Köln",$C$5,IF($B$6="Köln",$C$6,""))))))))</f>
        <v>4</v>
      </c>
      <c r="E35" s="7" t="str">
        <f>IF($B$7="Köln",$C$7,IF($B$8="Köln",$C$8,IF($B$9="Köln",$C$9,"")))</f>
        <v/>
      </c>
      <c r="F35" s="6"/>
    </row>
    <row r="36" spans="1:6" x14ac:dyDescent="0.2">
      <c r="A36" s="6" t="s">
        <v>402</v>
      </c>
      <c r="B36" s="6">
        <f t="shared" si="0"/>
        <v>4</v>
      </c>
      <c r="C36" s="6">
        <f>IF($A$1="Heidenheim",$C$1,IF($A$2="Heidenheim",$C$2,IF($A$3="Heidenheim",$C$3,IF($A$4="Heidenheim",$C$4,IF($A$5="Heidenheim",$C$5,IF($A$6="Heidenheim",$C$6,IF($A$7="Heidenheim",$C$7,IF($A$7="Heidenheim",$C$7,""))))))))</f>
        <v>4</v>
      </c>
      <c r="D36" s="6" t="str">
        <f>IF($A$8="Heidenheim",$C$8,IF($A$9="Heidenheim",$C$9,IF($B$1="Heidenheim",$D$1,IF($B$2="Heidenheim",$D$2,IF($B$3="Heidenheim",$D$3,IF($B$4="Heidenheim",$D$4,IF($B$5="Heidenheim",$D$5,IF($B$6="Heidenheim",$D$6,""))))))))</f>
        <v/>
      </c>
      <c r="E36" s="6" t="str">
        <f>IF($B$7="Heidenheim",$D$7,IF($B$8="Heidenheim",$D$8,IF($B$9="Heidenheim",$D$9,"")))</f>
        <v/>
      </c>
      <c r="F36" s="6"/>
    </row>
    <row r="37" spans="1:6" ht="13.5" thickBot="1" x14ac:dyDescent="0.25">
      <c r="A37" s="7" t="s">
        <v>403</v>
      </c>
      <c r="B37" s="7">
        <f t="shared" si="0"/>
        <v>1</v>
      </c>
      <c r="C37" s="7">
        <f>IF($A$1="Heidenheim",$D$1,IF($A$2="Heidenheim",$D$2,IF($A$3="Heidenheim",$D$3,IF($A$4="Heidenheim",$D$4,IF($A$5="Heidenheim",$D$5,IF($A$6="Heidenheim",$D$6,IF($A$7="Heidenheim",$D$7,IF($A$7="Heidenheim",$D$7,""))))))))</f>
        <v>1</v>
      </c>
      <c r="D37" s="7" t="str">
        <f>IF($A$8="Heidenheim",$D$8,IF($A$9="Heidenheim",$D$9,IF($B$1="Heidenheim",$C$1,IF($B$2="Heidenheim",$C$2,IF($B$3="Heidenheim",$C$3,IF($B$4="Heidenheim",$C$4,IF($B$5="Heidenheim",$C$5,IF($B$6="Heidenheim",$C$6,""))))))))</f>
        <v/>
      </c>
      <c r="E37" s="7" t="str">
        <f>IF($B$7="Heidenheim",$C$7,IF($B$8="Heidenheim",$C$8,IF($B$9="Heidenheim",$C$9,"")))</f>
        <v/>
      </c>
      <c r="F37" s="6"/>
    </row>
    <row r="38" spans="1:6" x14ac:dyDescent="0.2">
      <c r="A38" s="6" t="s">
        <v>93</v>
      </c>
      <c r="B38" s="6">
        <f t="shared" si="0"/>
        <v>1</v>
      </c>
      <c r="C38" s="6" t="str">
        <f>IF($A$1="Augsburg",$C$1,IF($A$2="Augsburg",$C$2,IF($A$3="Augsburg",$C$3,IF($A$4="Augsburg",$C$4,IF($A$5="Augsburg",$C$5,IF($A$6="Augsburg",$C$6,IF($A$7="Augsburg",$C$7,IF($A$7="Augsburg",$C$7,""))))))))</f>
        <v/>
      </c>
      <c r="D38" s="6" t="str">
        <f>IF($A$8="Augsburg",$C$8,IF($A$9="Augsburg",$C$9,IF($B$1="Augsburg",$D$1,IF($B$2="Augsburg",$D$2,IF($B$3="Augsburg",$D$3,IF($B$4="Augsburg",$D$4,IF($B$5="Augsburg",$D$5,IF($B$6="Augsburg",$D$6,""))))))))</f>
        <v/>
      </c>
      <c r="E38" s="6">
        <f>IF($B$7="Augsburg",$D$7,IF($B$8="Augsburg",$D$8,IF($B$9="Augsburg",$D$9,"")))</f>
        <v>1</v>
      </c>
      <c r="F38" s="6"/>
    </row>
    <row r="39" spans="1:6" ht="13.5" thickBot="1" x14ac:dyDescent="0.25">
      <c r="A39" s="7" t="s">
        <v>94</v>
      </c>
      <c r="B39" s="7">
        <f t="shared" si="0"/>
        <v>2</v>
      </c>
      <c r="C39" s="7" t="str">
        <f>IF($A$1="Augsburg",$D$1,IF($A$2="Augsburg",$D$2,IF($A$3="Augsburg",$D$3,IF($A$4="Augsburg",$D$4,IF($A$5="Augsburg",$D$5,IF($A$6="Augsburg",$D$6,IF($A$7="Augsburg",$D$7,IF($A$7="Augsburg",$D$7,""))))))))</f>
        <v/>
      </c>
      <c r="D39" s="7" t="str">
        <f>IF($A$8="Augsburg",$D$8,IF($A$9="Augsburg",$D$9,IF($B$1="Augsburg",$C$1,IF($B$2="Augsburg",$C$2,IF($B$3="Augsburg",$C$3,IF($B$4="Augsburg",$C$4,IF($B$5="Augsburg",$C$5,IF($B$6="Augsburg",$C$6,""))))))))</f>
        <v/>
      </c>
      <c r="E39" s="7">
        <f>IF($B$7="Augsburg",$C$7,IF($B$8="Augsburg",$C$8,IF($B$9="Augsburg",$C$9,"")))</f>
        <v>2</v>
      </c>
      <c r="F39" s="6"/>
    </row>
    <row r="40" spans="1:6" x14ac:dyDescent="0.2">
      <c r="A40" s="5" t="s">
        <v>132</v>
      </c>
      <c r="B40" s="6">
        <f t="shared" si="0"/>
        <v>1</v>
      </c>
      <c r="C40" s="6" t="str">
        <f>IF($A$1="Freiburg",$C$1,IF($A$2="Freiburg",$C$2,IF($A$3="Freiburg",$C$3,IF($A$4="Freiburg",$C$4,IF($A$5="Freiburg",$C$5,IF($A$6="Freiburg",$C$6,IF($A$7="Freiburg",$C$7,IF($A$7="Freiburg",$C$7,""))))))))</f>
        <v/>
      </c>
      <c r="D40" s="6">
        <f>IF($A$8="Freiburg",$C$8,IF($A$9="Freiburg",$C$9,IF($B$1="Freiburg",$D$1,IF($B$2="Freiburg",$D$2,IF($B$3="Freiburg",$D$3,IF($B$4="Freiburg",$D$4,IF($B$5="Freiburg",$D$5,IF($B$6="Freiburg",$D$6,""))))))))</f>
        <v>1</v>
      </c>
      <c r="E40" s="6" t="str">
        <f>IF($B$7="Freiburg",$D$7,IF($B$8="Freiburg",$D$8,IF($B$9="Freiburg",$D$9,"")))</f>
        <v/>
      </c>
      <c r="F40" s="6"/>
    </row>
    <row r="41" spans="1:6" ht="13.5" thickBot="1" x14ac:dyDescent="0.25">
      <c r="A41" s="167" t="s">
        <v>133</v>
      </c>
      <c r="B41" s="7">
        <f t="shared" si="0"/>
        <v>2</v>
      </c>
      <c r="C41" s="7" t="str">
        <f>IF($A$1="Freiburg",$D$1,IF($A$2="Freiburg",$D$2,IF($A$3="Freiburg",$D$3,IF($A$4="Freiburg",$D$4,IF($A$5="Freiburg",$D$5,IF($A$6="Freiburg",$D$6,IF($A$7="Freiburg",$D$7,IF($A$7="Freiburg",$D$7,""))))))))</f>
        <v/>
      </c>
      <c r="D41" s="7">
        <f>IF($A$8="Freiburg",$D$8,IF($A$9="Freiburg",$D$9,IF($B$1="Freiburg",$C$1,IF($B$2="Freiburg",$C$2,IF($B$3="Freiburg",$C$3,IF($B$4="Freiburg",$C$4,IF($B$5="Freiburg",$C$5,IF($B$6="Freiburg",$C$6,""))))))))</f>
        <v>2</v>
      </c>
      <c r="E41" s="7" t="str">
        <f>IF($B$7="Freiburg",$C$7,IF($B$8="Freiburg",$C$8,IF($B$9="Freiburg",$C$9,"")))</f>
        <v/>
      </c>
      <c r="F41" s="6"/>
    </row>
    <row r="42" spans="1:6" x14ac:dyDescent="0.2">
      <c r="A42" s="6" t="s">
        <v>104</v>
      </c>
      <c r="B42" s="6">
        <f t="shared" si="0"/>
        <v>2</v>
      </c>
      <c r="C42" s="6">
        <f>IF($A$1="Frankfurt",$C$1,IF($A$2="Frankfurt",$C$2,IF($A$3="Frankfurt",$C$3,IF($A$4="Frankfurt",$C$4,IF($A$5="Frankfurt",$C$5,IF($A$6="Frankfurt",$C$6,IF($A$7="Frankfurt",$C$7,IF($A$7="Frankfurt",$C$7,""))))))))</f>
        <v>2</v>
      </c>
      <c r="D42" s="6" t="str">
        <f>IF($A$8="Frankfurt",$C$8,IF($A$9="Frankfurt",$C$9,IF($B$1="Frankfurt",$D$1,IF($B$2="Frankfurt",$D$2,IF($B$3="Frankfurt",$D$3,IF($B$4="Frankfurt",$D$4,IF($B$5="Frankfurt",$D$5,IF($B$6="Frankfurt",$D$6,""))))))))</f>
        <v/>
      </c>
      <c r="E42" s="6" t="str">
        <f>IF($B$7="Frankfurt",$D$7,IF($B$8="Frankfurt",$D$8,IF($B$9="Frankfurt",$D$9,"")))</f>
        <v/>
      </c>
      <c r="F42" s="6"/>
    </row>
    <row r="43" spans="1:6" ht="13.5" thickBot="1" x14ac:dyDescent="0.25">
      <c r="A43" s="7" t="s">
        <v>105</v>
      </c>
      <c r="B43" s="7">
        <f t="shared" si="0"/>
        <v>2</v>
      </c>
      <c r="C43" s="7">
        <f>IF($A$1="Frankfurt",$D$1,IF($A$2="Frankfurt",$D$2,IF($A$3="Frankfurt",$D$3,IF($A$4="Frankfurt",$D$4,IF($A$5="Frankfurt",$D$5,IF($A$6="Frankfurt",$D$6,IF($A$7="Frankfurt",$D$7,IF($A$7="Frankfurt",$D$7,""))))))))</f>
        <v>2</v>
      </c>
      <c r="D43" s="7" t="str">
        <f>IF($A$8="Frankfurt",$D$8,IF($A$9="Frankfurt",$D$9,IF($B$1="Frankfurt",$C$1,IF($B$2="Frankfurt",$C$2,IF($B$3="Frankfurt",$C$3,IF($B$4="Frankfurt",$C$4,IF($B$5="Frankfurt",$C$5,IF($B$6="Frankfurt",$C$6,""))))))))</f>
        <v/>
      </c>
      <c r="E43" s="7" t="str">
        <f>IF($B$7="Frankfurt",$C$7,IF($B$8="Frankfurt",$C$8,IF($B$9="Frankfurt",$C$9,"")))</f>
        <v/>
      </c>
      <c r="F43" s="6"/>
    </row>
    <row r="44" spans="1:6" x14ac:dyDescent="0.2">
      <c r="A44" s="6" t="s">
        <v>84</v>
      </c>
      <c r="B44" s="6">
        <f t="shared" si="0"/>
        <v>3</v>
      </c>
      <c r="C44" s="6" t="str">
        <f>IF($A$1="Mainz",$C$1,IF($A$2="Mainz",$C$2,IF($A$3="Mainz",$C$3,IF($A$4="Mainz",$C$4,IF($A$5="Mainz",$C$5,IF($A$6="Mainz",$C$6,IF($A$7="Mainz",$C$7,IF($A$7="Mainz",$C$7,""))))))))</f>
        <v/>
      </c>
      <c r="D44" s="6">
        <f>IF($A$8="Mainz",$C$8,IF($A$9="Mainz",$C$9,IF($B$1="Mainz",$D$1,IF($B$2="Mainz",$D$2,IF($B$3="Mainz",$D$3,IF($B$4="Mainz",$D$4,IF($B$5="Mainz",$D$5,IF($B$6="Mainz",$D$6,""))))))))</f>
        <v>3</v>
      </c>
      <c r="E44" s="6" t="str">
        <f>IF($B$7="Mainz",$D$7,IF($B$8="Mainz",$D$8,IF($B$9="Mainz",$D$9,"")))</f>
        <v/>
      </c>
      <c r="F44" s="6"/>
    </row>
    <row r="45" spans="1:6" ht="13.5" thickBot="1" x14ac:dyDescent="0.25">
      <c r="A45" s="7" t="s">
        <v>85</v>
      </c>
      <c r="B45" s="7">
        <f t="shared" si="0"/>
        <v>1</v>
      </c>
      <c r="C45" s="7" t="str">
        <f>IF($A$1="Mainz",$D$1,IF($A$2="Mainz",$D$2,IF($A$3="Mainz",$D$3,IF($A$4="Mainz",$D$4,IF($A$5="Mainz",$D$5,IF($A$6="Mainz",$D$6,IF($A$7="Mainz",$D$7,IF($A$7="Mainz",$D$7,""))))))))</f>
        <v/>
      </c>
      <c r="D45" s="7">
        <f>IF($A$8="Mainz",$D$8,IF($A$9="Mainz",$D$9,IF($B$1="Mainz",$C$1,IF($B$2="Mainz",$C$2,IF($B$3="Mainz",$C$3,IF($B$4="Mainz",$C$4,IF($B$5="Mainz",$C$5,IF($B$6="Mainz",$C$6,""))))))))</f>
        <v>1</v>
      </c>
      <c r="E45" s="7" t="str">
        <f>IF($B$7="Mainz",$C$7,IF($B$8="Mainz",$C$8,IF($B$9="Mainz",$C$9,"")))</f>
        <v/>
      </c>
      <c r="F45" s="6"/>
    </row>
    <row r="46" spans="1:6" x14ac:dyDescent="0.2">
      <c r="A46" s="6" t="s">
        <v>67</v>
      </c>
      <c r="B46" s="6">
        <f t="shared" si="0"/>
        <v>0</v>
      </c>
      <c r="C46" s="6" t="str">
        <f>IF($A$1="M'gladbach",$C$1,IF($A$2="M'gladbach",$C$2,IF($A$3="M'gladbach",$C$3,IF($A$4="M'gladbach",$C$4,IF($A$5="M'gladbach",$C$5,IF($A$6="M'gladbach",$C$6,IF($A$7="M'gladbach",$C$7,IF($A$7="M'gladbach",$C$7,""))))))))</f>
        <v/>
      </c>
      <c r="D46" s="6">
        <f>IF($A$8="M'gladbach",$C$8,IF($A$9="M'gladbach",$C$9,IF($B$1="M'gladbach",$D$1,IF($B$2="M'gladbach",$D$2,IF($B$3="M'gladbach",$D$3,IF($B$4="M'gladbach",$D$4,IF($B$5="M'gladbach",$D$5,IF($B$6="M'gladbach",$D$6,""))))))))</f>
        <v>0</v>
      </c>
      <c r="E46" s="6" t="str">
        <f>IF($B$7="M'gladbach",$D$7,IF($B$8="M'gladbach",$D$8,IF($B$9="M'gladbach",$D$9,"")))</f>
        <v/>
      </c>
      <c r="F46" s="6"/>
    </row>
    <row r="47" spans="1:6" ht="13.5" thickBot="1" x14ac:dyDescent="0.25">
      <c r="A47" s="7" t="s">
        <v>68</v>
      </c>
      <c r="B47" s="7">
        <f t="shared" si="0"/>
        <v>4</v>
      </c>
      <c r="C47" s="7" t="str">
        <f>IF($A$1="M'gladbach",$D$1,IF($A$2="M'gladbach",$D$2,IF($A$3="M'gladbach",$D$3,IF($A$4="M'gladbach",$D$4,IF($A$5="M'gladbach",$D$5,IF($A$6="M'gladbach",$D$6,IF($A$7="M'gladbach",$D$7,IF($A$7="M'gladbach",$D$7,""))))))))</f>
        <v/>
      </c>
      <c r="D47" s="7">
        <f>IF($A$8="M'gladbach",$D$8,IF($A$9="M'gladbach",$D$9,IF($B$1="M'gladbach",$C$1,IF($B$2="M'gladbach",$C$2,IF($B$3="M'gladbach",$C$3,IF($B$4="M'gladbach",$C$4,IF($B$5="M'gladbach",$C$5,IF($B$6="M'gladbach",$C$6,""))))))))</f>
        <v>4</v>
      </c>
      <c r="E47" s="7" t="str">
        <f>IF($B$7="M'gladbach",$C$7,IF($B$8="M'gladbach",$C$8,IF($B$9="M'gladbach",$C$9,"")))</f>
        <v/>
      </c>
      <c r="F47" s="6"/>
    </row>
    <row r="48" spans="1:6" x14ac:dyDescent="0.2">
      <c r="A48" s="6"/>
      <c r="B48" s="6"/>
      <c r="C48" s="6"/>
      <c r="D48" s="6"/>
      <c r="E48" s="6"/>
      <c r="F48" s="6"/>
    </row>
    <row r="49" spans="1:6" x14ac:dyDescent="0.2">
      <c r="A49" s="6"/>
      <c r="B49" s="6"/>
      <c r="C49" s="6"/>
      <c r="D49" s="6"/>
      <c r="E49" s="6"/>
      <c r="F49" s="6"/>
    </row>
    <row r="88" spans="1:1" x14ac:dyDescent="0.2">
      <c r="A88" s="8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B554"/>
  <sheetViews>
    <sheetView showGridLines="0" zoomScale="110" zoomScaleNormal="110" workbookViewId="0">
      <pane xSplit="9" ySplit="1" topLeftCell="J278" activePane="bottomRight" state="frozen"/>
      <selection activeCell="A370" sqref="A370:XFD370"/>
      <selection pane="topRight" activeCell="A370" sqref="A370:XFD370"/>
      <selection pane="bottomLeft" activeCell="A370" sqref="A370:XFD370"/>
      <selection pane="bottomRight" activeCell="Q322" sqref="Q322"/>
    </sheetView>
  </sheetViews>
  <sheetFormatPr baseColWidth="10" defaultColWidth="11.42578125" defaultRowHeight="10.5" customHeight="1" x14ac:dyDescent="0.2"/>
  <cols>
    <col min="1" max="1" width="3.7109375" style="172" customWidth="1"/>
    <col min="2" max="3" width="25.7109375" style="175" customWidth="1"/>
    <col min="4" max="9" width="8.7109375" style="172" hidden="1" customWidth="1"/>
    <col min="10" max="10" width="2.5703125" style="172" customWidth="1"/>
    <col min="11" max="19" width="10" style="172" customWidth="1"/>
    <col min="20" max="26" width="10" style="172" hidden="1" customWidth="1"/>
    <col min="27" max="27" width="11.42578125" style="175" hidden="1" customWidth="1"/>
    <col min="28" max="28" width="23.28515625" style="175" hidden="1" customWidth="1"/>
    <col min="29" max="37" width="11.42578125" style="175" customWidth="1"/>
    <col min="38" max="16384" width="11.42578125" style="175"/>
  </cols>
  <sheetData>
    <row r="1" spans="1:28" ht="27" customHeight="1" x14ac:dyDescent="0.2">
      <c r="B1" s="173"/>
      <c r="C1" s="173"/>
      <c r="D1" s="9" t="s">
        <v>15</v>
      </c>
      <c r="E1" s="9" t="s">
        <v>63</v>
      </c>
      <c r="F1" s="9" t="s">
        <v>64</v>
      </c>
      <c r="G1" s="9" t="s">
        <v>65</v>
      </c>
      <c r="H1" s="9" t="s">
        <v>29</v>
      </c>
      <c r="I1" s="9" t="s">
        <v>27</v>
      </c>
      <c r="K1" s="174" t="s">
        <v>40</v>
      </c>
      <c r="L1" s="174" t="s">
        <v>41</v>
      </c>
      <c r="M1" s="174" t="s">
        <v>102</v>
      </c>
      <c r="N1" s="174" t="s">
        <v>51</v>
      </c>
      <c r="O1" s="174" t="s">
        <v>52</v>
      </c>
      <c r="P1" s="174" t="s">
        <v>90</v>
      </c>
      <c r="Q1" s="174" t="s">
        <v>79</v>
      </c>
      <c r="R1" s="174" t="s">
        <v>100</v>
      </c>
      <c r="S1" s="174" t="s">
        <v>78</v>
      </c>
      <c r="T1" s="174" t="s">
        <v>406</v>
      </c>
      <c r="U1" s="174" t="s">
        <v>407</v>
      </c>
      <c r="V1" s="174" t="s">
        <v>408</v>
      </c>
      <c r="W1" s="174" t="s">
        <v>89</v>
      </c>
      <c r="X1" s="174" t="s">
        <v>74</v>
      </c>
      <c r="Y1" s="174" t="s">
        <v>75</v>
      </c>
      <c r="Z1" s="216"/>
      <c r="AB1" s="175" t="s">
        <v>61</v>
      </c>
    </row>
    <row r="2" spans="1:28" ht="15" customHeight="1" thickBot="1" x14ac:dyDescent="0.25">
      <c r="A2" s="219" t="s">
        <v>9</v>
      </c>
      <c r="B2" s="219"/>
      <c r="C2" s="219"/>
      <c r="D2" s="219"/>
      <c r="E2" s="219"/>
      <c r="F2" s="219"/>
      <c r="G2" s="219"/>
      <c r="H2" s="219"/>
      <c r="I2" s="219"/>
      <c r="J2" s="10"/>
      <c r="K2" s="176">
        <v>12</v>
      </c>
      <c r="L2" s="176">
        <v>12</v>
      </c>
      <c r="M2" s="176">
        <v>12</v>
      </c>
      <c r="N2" s="176">
        <v>12</v>
      </c>
      <c r="O2" s="176">
        <v>12</v>
      </c>
      <c r="P2" s="176">
        <v>12</v>
      </c>
      <c r="Q2" s="176">
        <v>12</v>
      </c>
      <c r="R2" s="176">
        <v>12</v>
      </c>
      <c r="S2" s="176">
        <v>12</v>
      </c>
      <c r="T2" s="176">
        <v>12</v>
      </c>
      <c r="U2" s="176">
        <v>12</v>
      </c>
      <c r="V2" s="176">
        <v>12</v>
      </c>
      <c r="W2" s="176">
        <v>12</v>
      </c>
      <c r="X2" s="176">
        <v>12</v>
      </c>
      <c r="Y2" s="176">
        <v>12</v>
      </c>
      <c r="Z2" s="217"/>
      <c r="AB2" s="175" t="str">
        <f>A2</f>
        <v>Bayern München</v>
      </c>
    </row>
    <row r="3" spans="1:28" ht="10.5" customHeight="1" x14ac:dyDescent="0.2">
      <c r="A3" s="177">
        <v>1</v>
      </c>
      <c r="B3" s="178" t="s">
        <v>58</v>
      </c>
      <c r="C3" s="178" t="s">
        <v>0</v>
      </c>
      <c r="D3" s="179" t="s">
        <v>59</v>
      </c>
      <c r="E3" s="179" t="s">
        <v>59</v>
      </c>
      <c r="F3" s="180" t="s">
        <v>59</v>
      </c>
      <c r="G3" s="180" t="s">
        <v>59</v>
      </c>
      <c r="H3" s="180"/>
      <c r="I3" s="179"/>
      <c r="J3" s="181"/>
      <c r="K3" s="182"/>
      <c r="L3" s="182">
        <v>1</v>
      </c>
      <c r="M3" s="182">
        <v>1</v>
      </c>
      <c r="N3" s="182">
        <v>1</v>
      </c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AB3" s="175" t="str">
        <f t="shared" ref="AB3:AB11" si="0">B3</f>
        <v>Manuel Neuer</v>
      </c>
    </row>
    <row r="4" spans="1:28" ht="10.5" customHeight="1" x14ac:dyDescent="0.2">
      <c r="A4" s="177">
        <v>18</v>
      </c>
      <c r="B4" s="178" t="s">
        <v>599</v>
      </c>
      <c r="C4" s="178" t="s">
        <v>0</v>
      </c>
      <c r="D4" s="179" t="s">
        <v>59</v>
      </c>
      <c r="E4" s="179" t="s">
        <v>59</v>
      </c>
      <c r="F4" s="180" t="s">
        <v>59</v>
      </c>
      <c r="G4" s="180" t="s">
        <v>59</v>
      </c>
      <c r="H4" s="180"/>
      <c r="I4" s="179"/>
      <c r="J4" s="181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AB4" s="175" t="str">
        <f t="shared" ref="AB4:AB9" si="1">B4</f>
        <v>Daniel Peretz</v>
      </c>
    </row>
    <row r="5" spans="1:28" ht="10.5" customHeight="1" x14ac:dyDescent="0.2">
      <c r="A5" s="177">
        <v>26</v>
      </c>
      <c r="B5" s="178" t="s">
        <v>262</v>
      </c>
      <c r="C5" s="178" t="s">
        <v>0</v>
      </c>
      <c r="D5" s="179" t="s">
        <v>59</v>
      </c>
      <c r="E5" s="179" t="s">
        <v>59</v>
      </c>
      <c r="F5" s="180" t="s">
        <v>59</v>
      </c>
      <c r="G5" s="180" t="s">
        <v>59</v>
      </c>
      <c r="H5" s="180"/>
      <c r="I5" s="179"/>
      <c r="J5" s="181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AB5" s="175" t="str">
        <f t="shared" si="1"/>
        <v>Sven Ulreich</v>
      </c>
    </row>
    <row r="6" spans="1:28" ht="10.5" customHeight="1" x14ac:dyDescent="0.2">
      <c r="A6" s="177">
        <v>43</v>
      </c>
      <c r="B6" s="178" t="s">
        <v>641</v>
      </c>
      <c r="C6" s="178" t="s">
        <v>0</v>
      </c>
      <c r="D6" s="179" t="s">
        <v>59</v>
      </c>
      <c r="E6" s="179" t="s">
        <v>59</v>
      </c>
      <c r="F6" s="180" t="s">
        <v>59</v>
      </c>
      <c r="G6" s="180" t="s">
        <v>59</v>
      </c>
      <c r="H6" s="180"/>
      <c r="I6" s="179"/>
      <c r="J6" s="181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AB6" s="175" t="str">
        <f t="shared" si="1"/>
        <v>Ritzy Hülsmann</v>
      </c>
    </row>
    <row r="7" spans="1:28" ht="10.5" customHeight="1" x14ac:dyDescent="0.2">
      <c r="A7" s="177">
        <v>48</v>
      </c>
      <c r="B7" s="178" t="s">
        <v>620</v>
      </c>
      <c r="C7" s="178" t="s">
        <v>0</v>
      </c>
      <c r="D7" s="179" t="s">
        <v>59</v>
      </c>
      <c r="E7" s="179" t="s">
        <v>59</v>
      </c>
      <c r="F7" s="180" t="s">
        <v>59</v>
      </c>
      <c r="G7" s="180" t="s">
        <v>59</v>
      </c>
      <c r="H7" s="180"/>
      <c r="I7" s="179"/>
      <c r="J7" s="181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AB7" s="175" t="str">
        <f t="shared" si="1"/>
        <v>Max Schmitt</v>
      </c>
    </row>
    <row r="8" spans="1:28" ht="10.5" customHeight="1" x14ac:dyDescent="0.2">
      <c r="A8" s="183">
        <v>2</v>
      </c>
      <c r="B8" s="184" t="s">
        <v>156</v>
      </c>
      <c r="C8" s="185" t="s">
        <v>1</v>
      </c>
      <c r="D8" s="186" t="s">
        <v>59</v>
      </c>
      <c r="E8" s="186" t="s">
        <v>59</v>
      </c>
      <c r="F8" s="187" t="s">
        <v>59</v>
      </c>
      <c r="G8" s="187" t="s">
        <v>59</v>
      </c>
      <c r="H8" s="187"/>
      <c r="I8" s="186"/>
      <c r="J8" s="181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AB8" s="175" t="str">
        <f t="shared" si="1"/>
        <v>Dayot Upamecano (A)</v>
      </c>
    </row>
    <row r="9" spans="1:28" ht="10.5" customHeight="1" x14ac:dyDescent="0.2">
      <c r="A9" s="183">
        <v>3</v>
      </c>
      <c r="B9" s="184" t="s">
        <v>409</v>
      </c>
      <c r="C9" s="185" t="s">
        <v>1</v>
      </c>
      <c r="D9" s="186" t="s">
        <v>59</v>
      </c>
      <c r="E9" s="186" t="s">
        <v>59</v>
      </c>
      <c r="F9" s="187" t="s">
        <v>59</v>
      </c>
      <c r="G9" s="187" t="s">
        <v>59</v>
      </c>
      <c r="H9" s="187"/>
      <c r="I9" s="186"/>
      <c r="J9" s="181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AB9" s="175" t="str">
        <f t="shared" si="1"/>
        <v>Min-Jae Kim (A)</v>
      </c>
    </row>
    <row r="10" spans="1:28" ht="10.5" customHeight="1" x14ac:dyDescent="0.2">
      <c r="A10" s="183">
        <v>4</v>
      </c>
      <c r="B10" s="184" t="s">
        <v>322</v>
      </c>
      <c r="C10" s="185" t="s">
        <v>1</v>
      </c>
      <c r="D10" s="186" t="s">
        <v>59</v>
      </c>
      <c r="E10" s="186" t="s">
        <v>59</v>
      </c>
      <c r="F10" s="187" t="s">
        <v>59</v>
      </c>
      <c r="G10" s="187" t="s">
        <v>59</v>
      </c>
      <c r="H10" s="187"/>
      <c r="I10" s="186"/>
      <c r="J10" s="181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AB10" s="175" t="str">
        <f t="shared" si="0"/>
        <v>Matthijs de Ligt (A)</v>
      </c>
    </row>
    <row r="11" spans="1:28" ht="10.5" customHeight="1" x14ac:dyDescent="0.2">
      <c r="A11" s="183">
        <v>15</v>
      </c>
      <c r="B11" s="184" t="s">
        <v>642</v>
      </c>
      <c r="C11" s="185" t="s">
        <v>1</v>
      </c>
      <c r="D11" s="186" t="s">
        <v>59</v>
      </c>
      <c r="E11" s="186" t="s">
        <v>59</v>
      </c>
      <c r="F11" s="187" t="s">
        <v>59</v>
      </c>
      <c r="G11" s="187" t="s">
        <v>59</v>
      </c>
      <c r="H11" s="187"/>
      <c r="I11" s="186"/>
      <c r="J11" s="181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AB11" s="175" t="str">
        <f t="shared" si="0"/>
        <v>Eric Dier (A)</v>
      </c>
    </row>
    <row r="12" spans="1:28" ht="10.5" customHeight="1" x14ac:dyDescent="0.2">
      <c r="A12" s="183">
        <v>19</v>
      </c>
      <c r="B12" s="184" t="s">
        <v>182</v>
      </c>
      <c r="C12" s="185" t="s">
        <v>1</v>
      </c>
      <c r="D12" s="186" t="s">
        <v>59</v>
      </c>
      <c r="E12" s="186" t="s">
        <v>59</v>
      </c>
      <c r="F12" s="187" t="s">
        <v>59</v>
      </c>
      <c r="G12" s="187" t="s">
        <v>59</v>
      </c>
      <c r="H12" s="187"/>
      <c r="I12" s="186"/>
      <c r="J12" s="181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AB12" s="175" t="str">
        <f t="shared" ref="AB12" si="2">B12</f>
        <v>Alphonso Davies (A)</v>
      </c>
    </row>
    <row r="13" spans="1:28" ht="10.5" customHeight="1" x14ac:dyDescent="0.2">
      <c r="A13" s="183">
        <v>20</v>
      </c>
      <c r="B13" s="184" t="s">
        <v>249</v>
      </c>
      <c r="C13" s="185" t="s">
        <v>1</v>
      </c>
      <c r="D13" s="186" t="s">
        <v>59</v>
      </c>
      <c r="E13" s="186" t="s">
        <v>59</v>
      </c>
      <c r="F13" s="187" t="s">
        <v>59</v>
      </c>
      <c r="G13" s="187" t="s">
        <v>59</v>
      </c>
      <c r="H13" s="187"/>
      <c r="I13" s="186"/>
      <c r="J13" s="181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AB13" s="175" t="str">
        <f t="shared" ref="AB13:AB18" si="3">B13</f>
        <v>Bouna Sarr (A)</v>
      </c>
    </row>
    <row r="14" spans="1:28" ht="10.5" customHeight="1" x14ac:dyDescent="0.2">
      <c r="A14" s="183">
        <v>22</v>
      </c>
      <c r="B14" s="184" t="s">
        <v>147</v>
      </c>
      <c r="C14" s="185" t="s">
        <v>1</v>
      </c>
      <c r="D14" s="186" t="s">
        <v>59</v>
      </c>
      <c r="E14" s="186" t="s">
        <v>59</v>
      </c>
      <c r="F14" s="187" t="s">
        <v>59</v>
      </c>
      <c r="G14" s="187" t="s">
        <v>59</v>
      </c>
      <c r="H14" s="187"/>
      <c r="I14" s="186"/>
      <c r="J14" s="181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AB14" s="175" t="str">
        <f t="shared" si="3"/>
        <v>Raphael Guerreiro (A)</v>
      </c>
    </row>
    <row r="15" spans="1:28" ht="10.5" customHeight="1" x14ac:dyDescent="0.2">
      <c r="A15" s="183">
        <v>23</v>
      </c>
      <c r="B15" s="184" t="s">
        <v>658</v>
      </c>
      <c r="C15" s="185" t="s">
        <v>1</v>
      </c>
      <c r="D15" s="186" t="s">
        <v>59</v>
      </c>
      <c r="E15" s="186" t="s">
        <v>59</v>
      </c>
      <c r="F15" s="187" t="s">
        <v>59</v>
      </c>
      <c r="G15" s="187" t="s">
        <v>59</v>
      </c>
      <c r="H15" s="187"/>
      <c r="I15" s="186"/>
      <c r="J15" s="181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AB15" s="175" t="str">
        <f t="shared" si="3"/>
        <v>Sacha Boey (A)</v>
      </c>
    </row>
    <row r="16" spans="1:28" ht="10.5" customHeight="1" x14ac:dyDescent="0.2">
      <c r="A16" s="183">
        <v>28</v>
      </c>
      <c r="B16" s="184" t="s">
        <v>410</v>
      </c>
      <c r="C16" s="185" t="s">
        <v>1</v>
      </c>
      <c r="D16" s="186" t="s">
        <v>59</v>
      </c>
      <c r="E16" s="186" t="s">
        <v>59</v>
      </c>
      <c r="F16" s="187" t="s">
        <v>59</v>
      </c>
      <c r="G16" s="187" t="s">
        <v>59</v>
      </c>
      <c r="H16" s="187"/>
      <c r="I16" s="186"/>
      <c r="J16" s="181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AB16" s="175" t="str">
        <f t="shared" ref="AB16" si="4">B16</f>
        <v>Tarek Buchmann</v>
      </c>
    </row>
    <row r="17" spans="1:28" ht="10.5" customHeight="1" x14ac:dyDescent="0.2">
      <c r="A17" s="183">
        <v>40</v>
      </c>
      <c r="B17" s="184" t="s">
        <v>323</v>
      </c>
      <c r="C17" s="185" t="s">
        <v>1</v>
      </c>
      <c r="D17" s="186" t="s">
        <v>59</v>
      </c>
      <c r="E17" s="186" t="s">
        <v>59</v>
      </c>
      <c r="F17" s="187" t="s">
        <v>59</v>
      </c>
      <c r="G17" s="187" t="s">
        <v>59</v>
      </c>
      <c r="H17" s="187"/>
      <c r="I17" s="186"/>
      <c r="J17" s="181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AB17" s="175" t="str">
        <f t="shared" si="3"/>
        <v>Noussair Mazraoui (A)</v>
      </c>
    </row>
    <row r="18" spans="1:28" ht="10.5" customHeight="1" x14ac:dyDescent="0.2">
      <c r="A18" s="183">
        <v>44</v>
      </c>
      <c r="B18" s="184" t="s">
        <v>659</v>
      </c>
      <c r="C18" s="185" t="s">
        <v>1</v>
      </c>
      <c r="D18" s="186" t="s">
        <v>59</v>
      </c>
      <c r="E18" s="186" t="s">
        <v>59</v>
      </c>
      <c r="F18" s="187" t="s">
        <v>59</v>
      </c>
      <c r="G18" s="187" t="s">
        <v>59</v>
      </c>
      <c r="H18" s="187"/>
      <c r="I18" s="186"/>
      <c r="J18" s="181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AB18" s="175" t="str">
        <f t="shared" si="3"/>
        <v>Adam Aznou (A)</v>
      </c>
    </row>
    <row r="19" spans="1:28" s="113" customFormat="1" ht="10.5" customHeight="1" x14ac:dyDescent="0.2">
      <c r="A19" s="188">
        <v>6</v>
      </c>
      <c r="B19" s="189" t="s">
        <v>123</v>
      </c>
      <c r="C19" s="190" t="s">
        <v>2</v>
      </c>
      <c r="D19" s="191" t="s">
        <v>59</v>
      </c>
      <c r="E19" s="191" t="s">
        <v>59</v>
      </c>
      <c r="F19" s="192" t="s">
        <v>59</v>
      </c>
      <c r="G19" s="192" t="s">
        <v>59</v>
      </c>
      <c r="H19" s="192"/>
      <c r="I19" s="191"/>
      <c r="J19" s="181"/>
      <c r="K19" s="182"/>
      <c r="L19" s="182"/>
      <c r="M19" s="182"/>
      <c r="N19" s="182">
        <v>7</v>
      </c>
      <c r="O19" s="182"/>
      <c r="P19" s="182"/>
      <c r="Q19" s="182">
        <v>6</v>
      </c>
      <c r="R19" s="182">
        <v>7</v>
      </c>
      <c r="S19" s="182"/>
      <c r="T19" s="182"/>
      <c r="U19" s="182"/>
      <c r="V19" s="182"/>
      <c r="W19" s="182"/>
      <c r="X19" s="182"/>
      <c r="Y19" s="182"/>
      <c r="Z19" s="172"/>
      <c r="AB19" s="175" t="str">
        <f>B19</f>
        <v>Joshua Kimmich</v>
      </c>
    </row>
    <row r="20" spans="1:28" s="113" customFormat="1" ht="10.5" customHeight="1" x14ac:dyDescent="0.2">
      <c r="A20" s="188">
        <v>8</v>
      </c>
      <c r="B20" s="189" t="s">
        <v>116</v>
      </c>
      <c r="C20" s="190" t="s">
        <v>2</v>
      </c>
      <c r="D20" s="191" t="s">
        <v>59</v>
      </c>
      <c r="E20" s="191" t="s">
        <v>59</v>
      </c>
      <c r="F20" s="192" t="s">
        <v>59</v>
      </c>
      <c r="G20" s="192" t="s">
        <v>59</v>
      </c>
      <c r="H20" s="192"/>
      <c r="I20" s="191"/>
      <c r="J20" s="181"/>
      <c r="K20" s="182"/>
      <c r="L20" s="182"/>
      <c r="M20" s="182">
        <v>7</v>
      </c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72"/>
      <c r="AB20" s="175" t="str">
        <f>B20</f>
        <v>Leon Goretzka</v>
      </c>
    </row>
    <row r="21" spans="1:28" s="113" customFormat="1" ht="10.5" customHeight="1" x14ac:dyDescent="0.2">
      <c r="A21" s="188">
        <v>27</v>
      </c>
      <c r="B21" s="189" t="s">
        <v>157</v>
      </c>
      <c r="C21" s="190" t="s">
        <v>2</v>
      </c>
      <c r="D21" s="191" t="s">
        <v>59</v>
      </c>
      <c r="E21" s="191" t="s">
        <v>59</v>
      </c>
      <c r="F21" s="192" t="s">
        <v>59</v>
      </c>
      <c r="G21" s="192" t="s">
        <v>59</v>
      </c>
      <c r="H21" s="192"/>
      <c r="I21" s="191"/>
      <c r="J21" s="181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72"/>
      <c r="AB21" s="175" t="str">
        <f t="shared" ref="AB21:AB23" si="5">B21</f>
        <v>Konrad Laimer (A)</v>
      </c>
    </row>
    <row r="22" spans="1:28" s="113" customFormat="1" ht="10.5" customHeight="1" x14ac:dyDescent="0.2">
      <c r="A22" s="188">
        <v>34</v>
      </c>
      <c r="B22" s="189" t="s">
        <v>622</v>
      </c>
      <c r="C22" s="190" t="s">
        <v>2</v>
      </c>
      <c r="D22" s="191" t="s">
        <v>59</v>
      </c>
      <c r="E22" s="191" t="s">
        <v>59</v>
      </c>
      <c r="F22" s="192" t="s">
        <v>59</v>
      </c>
      <c r="G22" s="192" t="s">
        <v>59</v>
      </c>
      <c r="H22" s="192"/>
      <c r="I22" s="191"/>
      <c r="J22" s="181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72"/>
      <c r="AB22" s="175" t="str">
        <f t="shared" si="5"/>
        <v>Lovro Zvonarek (A)</v>
      </c>
    </row>
    <row r="23" spans="1:28" s="113" customFormat="1" ht="10.5" customHeight="1" x14ac:dyDescent="0.2">
      <c r="A23" s="188">
        <v>36</v>
      </c>
      <c r="B23" s="189" t="s">
        <v>623</v>
      </c>
      <c r="C23" s="190" t="s">
        <v>2</v>
      </c>
      <c r="D23" s="191" t="s">
        <v>59</v>
      </c>
      <c r="E23" s="191" t="s">
        <v>59</v>
      </c>
      <c r="F23" s="192" t="s">
        <v>59</v>
      </c>
      <c r="G23" s="192" t="s">
        <v>59</v>
      </c>
      <c r="H23" s="192"/>
      <c r="I23" s="191"/>
      <c r="J23" s="181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72"/>
      <c r="AB23" s="175" t="str">
        <f t="shared" si="5"/>
        <v>Noel Aeko Nkili</v>
      </c>
    </row>
    <row r="24" spans="1:28" s="113" customFormat="1" ht="10.5" customHeight="1" x14ac:dyDescent="0.2">
      <c r="A24" s="188">
        <v>37</v>
      </c>
      <c r="B24" s="189" t="s">
        <v>621</v>
      </c>
      <c r="C24" s="190" t="s">
        <v>2</v>
      </c>
      <c r="D24" s="191" t="s">
        <v>59</v>
      </c>
      <c r="E24" s="191" t="s">
        <v>59</v>
      </c>
      <c r="F24" s="192" t="s">
        <v>59</v>
      </c>
      <c r="G24" s="192" t="s">
        <v>59</v>
      </c>
      <c r="H24" s="192"/>
      <c r="I24" s="191"/>
      <c r="J24" s="181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72"/>
      <c r="AB24" s="175" t="str">
        <f t="shared" ref="AB24" si="6">B24</f>
        <v>Luca Denk</v>
      </c>
    </row>
    <row r="25" spans="1:28" s="113" customFormat="1" ht="10.5" customHeight="1" x14ac:dyDescent="0.2">
      <c r="A25" s="188">
        <v>42</v>
      </c>
      <c r="B25" s="189" t="s">
        <v>248</v>
      </c>
      <c r="C25" s="190" t="s">
        <v>2</v>
      </c>
      <c r="D25" s="191" t="s">
        <v>59</v>
      </c>
      <c r="E25" s="191" t="s">
        <v>59</v>
      </c>
      <c r="F25" s="192" t="s">
        <v>59</v>
      </c>
      <c r="G25" s="192" t="s">
        <v>59</v>
      </c>
      <c r="H25" s="192"/>
      <c r="I25" s="191"/>
      <c r="J25" s="181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72"/>
      <c r="AB25" s="175" t="str">
        <f t="shared" ref="AB25:AB26" si="7">B25</f>
        <v>Jamal Musiala</v>
      </c>
    </row>
    <row r="26" spans="1:28" s="113" customFormat="1" ht="10.5" customHeight="1" x14ac:dyDescent="0.2">
      <c r="A26" s="188">
        <v>45</v>
      </c>
      <c r="B26" s="189" t="s">
        <v>559</v>
      </c>
      <c r="C26" s="190" t="s">
        <v>2</v>
      </c>
      <c r="D26" s="191" t="s">
        <v>59</v>
      </c>
      <c r="E26" s="191" t="s">
        <v>59</v>
      </c>
      <c r="F26" s="192" t="s">
        <v>59</v>
      </c>
      <c r="G26" s="192" t="s">
        <v>59</v>
      </c>
      <c r="H26" s="192"/>
      <c r="I26" s="191"/>
      <c r="J26" s="181"/>
      <c r="K26" s="182"/>
      <c r="L26" s="182">
        <v>6</v>
      </c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72"/>
      <c r="AB26" s="175" t="str">
        <f t="shared" si="7"/>
        <v>Aleksandar Pavlovic</v>
      </c>
    </row>
    <row r="27" spans="1:28" s="113" customFormat="1" ht="10.5" customHeight="1" x14ac:dyDescent="0.2">
      <c r="A27" s="193">
        <v>7</v>
      </c>
      <c r="B27" s="194" t="s">
        <v>160</v>
      </c>
      <c r="C27" s="195" t="s">
        <v>3</v>
      </c>
      <c r="D27" s="196" t="s">
        <v>59</v>
      </c>
      <c r="E27" s="196" t="s">
        <v>59</v>
      </c>
      <c r="F27" s="197" t="s">
        <v>59</v>
      </c>
      <c r="G27" s="197" t="s">
        <v>59</v>
      </c>
      <c r="H27" s="197"/>
      <c r="I27" s="196"/>
      <c r="J27" s="181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72"/>
      <c r="AB27" s="175" t="str">
        <f>B27</f>
        <v>Serge Gnabry</v>
      </c>
    </row>
    <row r="28" spans="1:28" s="113" customFormat="1" ht="10.5" customHeight="1" x14ac:dyDescent="0.2">
      <c r="A28" s="193">
        <v>9</v>
      </c>
      <c r="B28" s="194" t="s">
        <v>541</v>
      </c>
      <c r="C28" s="195" t="s">
        <v>3</v>
      </c>
      <c r="D28" s="196" t="s">
        <v>59</v>
      </c>
      <c r="E28" s="196" t="s">
        <v>59</v>
      </c>
      <c r="F28" s="197" t="s">
        <v>59</v>
      </c>
      <c r="G28" s="197" t="s">
        <v>59</v>
      </c>
      <c r="H28" s="197"/>
      <c r="I28" s="196"/>
      <c r="J28" s="181"/>
      <c r="K28" s="182"/>
      <c r="L28" s="182"/>
      <c r="M28" s="182"/>
      <c r="N28" s="182"/>
      <c r="O28" s="182">
        <v>10</v>
      </c>
      <c r="P28" s="182"/>
      <c r="Q28" s="182"/>
      <c r="R28" s="182">
        <v>10</v>
      </c>
      <c r="S28" s="182"/>
      <c r="T28" s="182"/>
      <c r="U28" s="182"/>
      <c r="V28" s="182"/>
      <c r="W28" s="182"/>
      <c r="X28" s="182"/>
      <c r="Y28" s="182"/>
      <c r="Z28" s="172"/>
      <c r="AB28" s="175" t="str">
        <f>B28</f>
        <v>Harry Kane (A)</v>
      </c>
    </row>
    <row r="29" spans="1:28" s="113" customFormat="1" ht="10.5" customHeight="1" x14ac:dyDescent="0.2">
      <c r="A29" s="193">
        <v>10</v>
      </c>
      <c r="B29" s="194" t="s">
        <v>564</v>
      </c>
      <c r="C29" s="195" t="s">
        <v>3</v>
      </c>
      <c r="D29" s="196" t="s">
        <v>59</v>
      </c>
      <c r="E29" s="196" t="s">
        <v>59</v>
      </c>
      <c r="F29" s="197" t="s">
        <v>59</v>
      </c>
      <c r="G29" s="197" t="s">
        <v>59</v>
      </c>
      <c r="H29" s="197"/>
      <c r="I29" s="196"/>
      <c r="J29" s="181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72"/>
      <c r="AB29" s="175" t="str">
        <f>B29</f>
        <v>Leroy Sané</v>
      </c>
    </row>
    <row r="30" spans="1:28" s="113" customFormat="1" ht="10.5" customHeight="1" x14ac:dyDescent="0.2">
      <c r="A30" s="193">
        <v>11</v>
      </c>
      <c r="B30" s="194" t="s">
        <v>138</v>
      </c>
      <c r="C30" s="195" t="s">
        <v>3</v>
      </c>
      <c r="D30" s="196" t="s">
        <v>59</v>
      </c>
      <c r="E30" s="196" t="s">
        <v>59</v>
      </c>
      <c r="F30" s="197" t="s">
        <v>59</v>
      </c>
      <c r="G30" s="197" t="s">
        <v>59</v>
      </c>
      <c r="H30" s="197"/>
      <c r="I30" s="196"/>
      <c r="J30" s="181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72"/>
      <c r="AB30" s="175" t="str">
        <f t="shared" ref="AB30:AB31" si="8">B30</f>
        <v>Kingsley Coman (A)</v>
      </c>
    </row>
    <row r="31" spans="1:28" s="113" customFormat="1" ht="10.5" customHeight="1" x14ac:dyDescent="0.2">
      <c r="A31" s="193">
        <v>13</v>
      </c>
      <c r="B31" s="194" t="s">
        <v>250</v>
      </c>
      <c r="C31" s="195" t="s">
        <v>3</v>
      </c>
      <c r="D31" s="196" t="s">
        <v>59</v>
      </c>
      <c r="E31" s="196" t="s">
        <v>59</v>
      </c>
      <c r="F31" s="197" t="s">
        <v>59</v>
      </c>
      <c r="G31" s="197" t="s">
        <v>59</v>
      </c>
      <c r="H31" s="197"/>
      <c r="I31" s="196"/>
      <c r="J31" s="181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72"/>
      <c r="AB31" s="175" t="str">
        <f t="shared" si="8"/>
        <v>Eric-Maxim Choupo-Moting</v>
      </c>
    </row>
    <row r="32" spans="1:28" s="113" customFormat="1" ht="10.5" customHeight="1" x14ac:dyDescent="0.2">
      <c r="A32" s="193">
        <v>17</v>
      </c>
      <c r="B32" s="194" t="s">
        <v>664</v>
      </c>
      <c r="C32" s="195" t="s">
        <v>3</v>
      </c>
      <c r="D32" s="196" t="s">
        <v>59</v>
      </c>
      <c r="E32" s="196" t="s">
        <v>59</v>
      </c>
      <c r="F32" s="197" t="s">
        <v>59</v>
      </c>
      <c r="G32" s="197" t="s">
        <v>59</v>
      </c>
      <c r="H32" s="197"/>
      <c r="I32" s="196"/>
      <c r="J32" s="181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72"/>
      <c r="AB32" s="175" t="str">
        <f>B32</f>
        <v>Bryan Zaragoza (A)</v>
      </c>
    </row>
    <row r="33" spans="1:28" s="113" customFormat="1" ht="10.5" customHeight="1" x14ac:dyDescent="0.2">
      <c r="A33" s="193">
        <v>25</v>
      </c>
      <c r="B33" s="194" t="s">
        <v>80</v>
      </c>
      <c r="C33" s="195" t="s">
        <v>3</v>
      </c>
      <c r="D33" s="196" t="s">
        <v>59</v>
      </c>
      <c r="E33" s="196" t="s">
        <v>59</v>
      </c>
      <c r="F33" s="197" t="s">
        <v>59</v>
      </c>
      <c r="G33" s="197" t="s">
        <v>59</v>
      </c>
      <c r="H33" s="197"/>
      <c r="I33" s="196"/>
      <c r="J33" s="181"/>
      <c r="K33" s="182"/>
      <c r="L33" s="182"/>
      <c r="M33" s="182"/>
      <c r="N33" s="182"/>
      <c r="O33" s="182"/>
      <c r="P33" s="182"/>
      <c r="Q33" s="182">
        <v>10</v>
      </c>
      <c r="R33" s="182"/>
      <c r="S33" s="182">
        <v>10</v>
      </c>
      <c r="T33" s="182"/>
      <c r="U33" s="182"/>
      <c r="V33" s="182"/>
      <c r="W33" s="182"/>
      <c r="X33" s="182"/>
      <c r="Y33" s="182"/>
      <c r="Z33" s="172"/>
      <c r="AB33" s="175" t="str">
        <f>B33</f>
        <v>Thomas Müller</v>
      </c>
    </row>
    <row r="34" spans="1:28" s="113" customFormat="1" ht="10.5" customHeight="1" x14ac:dyDescent="0.2">
      <c r="A34" s="193">
        <v>39</v>
      </c>
      <c r="B34" s="194" t="s">
        <v>324</v>
      </c>
      <c r="C34" s="195" t="s">
        <v>3</v>
      </c>
      <c r="D34" s="196" t="s">
        <v>59</v>
      </c>
      <c r="E34" s="196" t="s">
        <v>59</v>
      </c>
      <c r="F34" s="197" t="s">
        <v>59</v>
      </c>
      <c r="G34" s="197" t="s">
        <v>59</v>
      </c>
      <c r="H34" s="197"/>
      <c r="I34" s="196"/>
      <c r="J34" s="181"/>
      <c r="K34" s="182"/>
      <c r="L34" s="182"/>
      <c r="M34" s="182"/>
      <c r="N34" s="182"/>
      <c r="O34" s="182"/>
      <c r="P34" s="182"/>
      <c r="Q34" s="182"/>
      <c r="R34" s="182"/>
      <c r="S34" s="182">
        <v>9</v>
      </c>
      <c r="T34" s="182"/>
      <c r="U34" s="182"/>
      <c r="V34" s="182"/>
      <c r="W34" s="182"/>
      <c r="X34" s="182"/>
      <c r="Y34" s="182"/>
      <c r="Z34" s="172"/>
      <c r="AB34" s="175" t="str">
        <f t="shared" ref="AB34" si="9">B34</f>
        <v>Mathys Tel (A)</v>
      </c>
    </row>
    <row r="35" spans="1:28" ht="15" customHeight="1" thickBot="1" x14ac:dyDescent="0.25">
      <c r="A35" s="219" t="s">
        <v>32</v>
      </c>
      <c r="B35" s="219"/>
      <c r="C35" s="219"/>
      <c r="D35" s="219"/>
      <c r="E35" s="219"/>
      <c r="F35" s="219"/>
      <c r="G35" s="219"/>
      <c r="H35" s="219"/>
      <c r="I35" s="219"/>
      <c r="J35" s="10"/>
      <c r="K35" s="176">
        <v>12</v>
      </c>
      <c r="L35" s="176">
        <v>12</v>
      </c>
      <c r="M35" s="176">
        <v>12</v>
      </c>
      <c r="N35" s="176">
        <v>12</v>
      </c>
      <c r="O35" s="176">
        <v>12</v>
      </c>
      <c r="P35" s="176">
        <v>12</v>
      </c>
      <c r="Q35" s="176">
        <v>12</v>
      </c>
      <c r="R35" s="176">
        <v>12</v>
      </c>
      <c r="S35" s="176">
        <v>12</v>
      </c>
      <c r="T35" s="176">
        <v>12</v>
      </c>
      <c r="U35" s="176">
        <v>12</v>
      </c>
      <c r="V35" s="176">
        <v>12</v>
      </c>
      <c r="W35" s="176">
        <v>12</v>
      </c>
      <c r="X35" s="176">
        <v>12</v>
      </c>
      <c r="Y35" s="176">
        <v>12</v>
      </c>
      <c r="Z35" s="217"/>
      <c r="AB35" s="175" t="str">
        <f>A35</f>
        <v>Borussia Dortmund</v>
      </c>
    </row>
    <row r="36" spans="1:28" s="113" customFormat="1" ht="10.5" customHeight="1" x14ac:dyDescent="0.2">
      <c r="A36" s="177">
        <v>1</v>
      </c>
      <c r="B36" s="178" t="s">
        <v>238</v>
      </c>
      <c r="C36" s="178" t="s">
        <v>0</v>
      </c>
      <c r="D36" s="179" t="s">
        <v>59</v>
      </c>
      <c r="E36" s="179" t="s">
        <v>59</v>
      </c>
      <c r="F36" s="180" t="s">
        <v>59</v>
      </c>
      <c r="G36" s="180" t="s">
        <v>59</v>
      </c>
      <c r="H36" s="180"/>
      <c r="I36" s="179"/>
      <c r="J36" s="181"/>
      <c r="K36" s="182"/>
      <c r="L36" s="182"/>
      <c r="M36" s="182"/>
      <c r="N36" s="182"/>
      <c r="O36" s="182"/>
      <c r="P36" s="182"/>
      <c r="Q36" s="182"/>
      <c r="R36" s="182">
        <v>1</v>
      </c>
      <c r="S36" s="182"/>
      <c r="T36" s="182"/>
      <c r="U36" s="182"/>
      <c r="V36" s="182"/>
      <c r="W36" s="182"/>
      <c r="X36" s="182"/>
      <c r="Y36" s="182"/>
      <c r="Z36" s="172"/>
      <c r="AB36" s="175" t="str">
        <f t="shared" ref="AB36:AB37" si="10">B36</f>
        <v>Gregor Kobel (A)</v>
      </c>
    </row>
    <row r="37" spans="1:28" s="113" customFormat="1" ht="10.5" customHeight="1" x14ac:dyDescent="0.2">
      <c r="A37" s="177">
        <v>31</v>
      </c>
      <c r="B37" s="178" t="s">
        <v>384</v>
      </c>
      <c r="C37" s="178" t="s">
        <v>0</v>
      </c>
      <c r="D37" s="179" t="s">
        <v>59</v>
      </c>
      <c r="E37" s="179" t="s">
        <v>59</v>
      </c>
      <c r="F37" s="180" t="s">
        <v>59</v>
      </c>
      <c r="G37" s="180" t="s">
        <v>59</v>
      </c>
      <c r="H37" s="180"/>
      <c r="I37" s="179"/>
      <c r="J37" s="181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72"/>
      <c r="AB37" s="175" t="str">
        <f t="shared" si="10"/>
        <v>Silas Ostrzinski</v>
      </c>
    </row>
    <row r="38" spans="1:28" s="113" customFormat="1" ht="10.5" customHeight="1" x14ac:dyDescent="0.2">
      <c r="A38" s="177">
        <v>33</v>
      </c>
      <c r="B38" s="178" t="s">
        <v>325</v>
      </c>
      <c r="C38" s="178" t="s">
        <v>0</v>
      </c>
      <c r="D38" s="179" t="s">
        <v>59</v>
      </c>
      <c r="E38" s="179" t="s">
        <v>59</v>
      </c>
      <c r="F38" s="180" t="s">
        <v>59</v>
      </c>
      <c r="G38" s="180" t="s">
        <v>59</v>
      </c>
      <c r="H38" s="180"/>
      <c r="I38" s="179"/>
      <c r="J38" s="181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72"/>
      <c r="AB38" s="175" t="str">
        <f t="shared" ref="AB38" si="11">B38</f>
        <v>Alexander Meyer</v>
      </c>
    </row>
    <row r="39" spans="1:28" s="113" customFormat="1" ht="10.5" customHeight="1" x14ac:dyDescent="0.2">
      <c r="A39" s="177">
        <v>35</v>
      </c>
      <c r="B39" s="178" t="s">
        <v>317</v>
      </c>
      <c r="C39" s="178" t="s">
        <v>0</v>
      </c>
      <c r="D39" s="179" t="s">
        <v>59</v>
      </c>
      <c r="E39" s="179" t="s">
        <v>59</v>
      </c>
      <c r="F39" s="180" t="s">
        <v>59</v>
      </c>
      <c r="G39" s="180" t="s">
        <v>59</v>
      </c>
      <c r="H39" s="180"/>
      <c r="I39" s="179"/>
      <c r="J39" s="181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72"/>
      <c r="AB39" s="175" t="str">
        <f t="shared" ref="AB39" si="12">B39</f>
        <v>Marcel Lotka</v>
      </c>
    </row>
    <row r="40" spans="1:28" s="113" customFormat="1" ht="10.5" customHeight="1" x14ac:dyDescent="0.2">
      <c r="A40" s="198">
        <v>2</v>
      </c>
      <c r="B40" s="199" t="s">
        <v>183</v>
      </c>
      <c r="C40" s="185" t="s">
        <v>1</v>
      </c>
      <c r="D40" s="186" t="s">
        <v>59</v>
      </c>
      <c r="E40" s="186" t="s">
        <v>59</v>
      </c>
      <c r="F40" s="187" t="s">
        <v>59</v>
      </c>
      <c r="G40" s="187" t="s">
        <v>59</v>
      </c>
      <c r="H40" s="187"/>
      <c r="I40" s="186"/>
      <c r="J40" s="181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72"/>
      <c r="AB40" s="175" t="str">
        <f>B40</f>
        <v>Mateu Morey (A)</v>
      </c>
    </row>
    <row r="41" spans="1:28" s="113" customFormat="1" ht="10.5" customHeight="1" x14ac:dyDescent="0.2">
      <c r="A41" s="198">
        <v>4</v>
      </c>
      <c r="B41" s="199" t="s">
        <v>197</v>
      </c>
      <c r="C41" s="185" t="s">
        <v>1</v>
      </c>
      <c r="D41" s="186" t="s">
        <v>59</v>
      </c>
      <c r="E41" s="186" t="s">
        <v>59</v>
      </c>
      <c r="F41" s="187" t="s">
        <v>59</v>
      </c>
      <c r="G41" s="187" t="s">
        <v>59</v>
      </c>
      <c r="H41" s="187"/>
      <c r="I41" s="186"/>
      <c r="J41" s="181"/>
      <c r="K41" s="182"/>
      <c r="L41" s="182"/>
      <c r="M41" s="182">
        <v>3</v>
      </c>
      <c r="N41" s="182"/>
      <c r="O41" s="182"/>
      <c r="P41" s="182"/>
      <c r="Q41" s="182">
        <v>4</v>
      </c>
      <c r="R41" s="182">
        <v>4</v>
      </c>
      <c r="S41" s="182"/>
      <c r="T41" s="182"/>
      <c r="U41" s="182"/>
      <c r="V41" s="182"/>
      <c r="W41" s="182"/>
      <c r="X41" s="182"/>
      <c r="Y41" s="182"/>
      <c r="Z41" s="172"/>
      <c r="AB41" s="175" t="str">
        <f t="shared" ref="AB41:AB49" si="13">B41</f>
        <v>Nico Schlotterbeck</v>
      </c>
    </row>
    <row r="42" spans="1:28" s="113" customFormat="1" ht="10.5" customHeight="1" x14ac:dyDescent="0.2">
      <c r="A42" s="198">
        <v>5</v>
      </c>
      <c r="B42" s="199" t="s">
        <v>213</v>
      </c>
      <c r="C42" s="185" t="s">
        <v>1</v>
      </c>
      <c r="D42" s="186" t="s">
        <v>59</v>
      </c>
      <c r="E42" s="186" t="s">
        <v>59</v>
      </c>
      <c r="F42" s="187" t="s">
        <v>59</v>
      </c>
      <c r="G42" s="187" t="s">
        <v>59</v>
      </c>
      <c r="H42" s="187"/>
      <c r="I42" s="186"/>
      <c r="J42" s="181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72"/>
      <c r="AB42" s="175" t="str">
        <f t="shared" si="13"/>
        <v>Ramy Bensebaini (A)</v>
      </c>
    </row>
    <row r="43" spans="1:28" s="113" customFormat="1" ht="10.5" customHeight="1" x14ac:dyDescent="0.2">
      <c r="A43" s="198">
        <v>15</v>
      </c>
      <c r="B43" s="199" t="s">
        <v>60</v>
      </c>
      <c r="C43" s="185" t="s">
        <v>1</v>
      </c>
      <c r="D43" s="186" t="s">
        <v>59</v>
      </c>
      <c r="E43" s="186" t="s">
        <v>59</v>
      </c>
      <c r="F43" s="187" t="s">
        <v>59</v>
      </c>
      <c r="G43" s="187" t="s">
        <v>59</v>
      </c>
      <c r="H43" s="187"/>
      <c r="I43" s="186"/>
      <c r="J43" s="181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72"/>
      <c r="AB43" s="175" t="str">
        <f t="shared" si="13"/>
        <v>Mats Hummels</v>
      </c>
    </row>
    <row r="44" spans="1:28" s="113" customFormat="1" ht="10.5" customHeight="1" x14ac:dyDescent="0.2">
      <c r="A44" s="198">
        <v>17</v>
      </c>
      <c r="B44" s="199" t="s">
        <v>246</v>
      </c>
      <c r="C44" s="185" t="s">
        <v>1</v>
      </c>
      <c r="D44" s="186" t="s">
        <v>59</v>
      </c>
      <c r="E44" s="186" t="s">
        <v>59</v>
      </c>
      <c r="F44" s="187" t="s">
        <v>59</v>
      </c>
      <c r="G44" s="187" t="s">
        <v>59</v>
      </c>
      <c r="H44" s="187"/>
      <c r="I44" s="186"/>
      <c r="J44" s="181"/>
      <c r="K44" s="182">
        <v>2</v>
      </c>
      <c r="L44" s="182"/>
      <c r="M44" s="182"/>
      <c r="N44" s="182"/>
      <c r="O44" s="182"/>
      <c r="P44" s="182">
        <v>3</v>
      </c>
      <c r="Q44" s="182"/>
      <c r="R44" s="182"/>
      <c r="S44" s="182"/>
      <c r="T44" s="182"/>
      <c r="U44" s="182"/>
      <c r="V44" s="182"/>
      <c r="W44" s="182"/>
      <c r="X44" s="182"/>
      <c r="Y44" s="182"/>
      <c r="Z44" s="172"/>
      <c r="AB44" s="175" t="str">
        <f t="shared" ref="AB44:AB45" si="14">B44</f>
        <v>Marius Wolf</v>
      </c>
    </row>
    <row r="45" spans="1:28" s="113" customFormat="1" ht="10.5" customHeight="1" x14ac:dyDescent="0.2">
      <c r="A45" s="198">
        <v>22</v>
      </c>
      <c r="B45" s="199" t="s">
        <v>643</v>
      </c>
      <c r="C45" s="185" t="s">
        <v>1</v>
      </c>
      <c r="D45" s="186" t="s">
        <v>59</v>
      </c>
      <c r="E45" s="186" t="s">
        <v>59</v>
      </c>
      <c r="F45" s="187" t="s">
        <v>59</v>
      </c>
      <c r="G45" s="187" t="s">
        <v>59</v>
      </c>
      <c r="H45" s="187"/>
      <c r="I45" s="186"/>
      <c r="J45" s="181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72"/>
      <c r="AB45" s="175" t="str">
        <f t="shared" si="14"/>
        <v>Ian Maatsen (A)</v>
      </c>
    </row>
    <row r="46" spans="1:28" s="113" customFormat="1" ht="10.5" customHeight="1" x14ac:dyDescent="0.2">
      <c r="A46" s="198">
        <v>25</v>
      </c>
      <c r="B46" s="199" t="s">
        <v>118</v>
      </c>
      <c r="C46" s="185" t="s">
        <v>1</v>
      </c>
      <c r="D46" s="186" t="s">
        <v>59</v>
      </c>
      <c r="E46" s="186" t="s">
        <v>59</v>
      </c>
      <c r="F46" s="187" t="s">
        <v>59</v>
      </c>
      <c r="G46" s="187" t="s">
        <v>59</v>
      </c>
      <c r="H46" s="187"/>
      <c r="I46" s="186"/>
      <c r="J46" s="181"/>
      <c r="K46" s="182"/>
      <c r="L46" s="182"/>
      <c r="M46" s="182"/>
      <c r="N46" s="182"/>
      <c r="O46" s="182"/>
      <c r="P46" s="182"/>
      <c r="Q46" s="182"/>
      <c r="R46" s="182"/>
      <c r="S46" s="182">
        <v>4</v>
      </c>
      <c r="T46" s="182"/>
      <c r="U46" s="182"/>
      <c r="V46" s="182"/>
      <c r="W46" s="182"/>
      <c r="X46" s="182"/>
      <c r="Y46" s="182"/>
      <c r="Z46" s="172"/>
      <c r="AB46" s="175" t="str">
        <f t="shared" si="13"/>
        <v>Niklas Süle</v>
      </c>
    </row>
    <row r="47" spans="1:28" s="113" customFormat="1" ht="10.5" customHeight="1" x14ac:dyDescent="0.2">
      <c r="A47" s="198">
        <v>26</v>
      </c>
      <c r="B47" s="199" t="s">
        <v>210</v>
      </c>
      <c r="C47" s="185" t="s">
        <v>1</v>
      </c>
      <c r="D47" s="186" t="s">
        <v>59</v>
      </c>
      <c r="E47" s="186" t="s">
        <v>59</v>
      </c>
      <c r="F47" s="187" t="s">
        <v>59</v>
      </c>
      <c r="G47" s="187" t="s">
        <v>59</v>
      </c>
      <c r="H47" s="187"/>
      <c r="I47" s="186"/>
      <c r="J47" s="181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72"/>
      <c r="AB47" s="175" t="str">
        <f t="shared" si="13"/>
        <v>Julian Ryerson (A)</v>
      </c>
    </row>
    <row r="48" spans="1:28" s="113" customFormat="1" ht="10.5" customHeight="1" x14ac:dyDescent="0.2">
      <c r="A48" s="198">
        <v>44</v>
      </c>
      <c r="B48" s="199" t="s">
        <v>264</v>
      </c>
      <c r="C48" s="185" t="s">
        <v>1</v>
      </c>
      <c r="D48" s="186" t="s">
        <v>59</v>
      </c>
      <c r="E48" s="186" t="s">
        <v>59</v>
      </c>
      <c r="F48" s="187" t="s">
        <v>59</v>
      </c>
      <c r="G48" s="187" t="s">
        <v>59</v>
      </c>
      <c r="H48" s="187"/>
      <c r="I48" s="186"/>
      <c r="J48" s="181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72"/>
      <c r="AB48" s="175" t="str">
        <f t="shared" si="13"/>
        <v>Soumalia Coulibaly (A)</v>
      </c>
    </row>
    <row r="49" spans="1:28" s="113" customFormat="1" ht="10.5" customHeight="1" x14ac:dyDescent="0.2">
      <c r="A49" s="198">
        <v>45</v>
      </c>
      <c r="B49" s="199" t="s">
        <v>624</v>
      </c>
      <c r="C49" s="185" t="s">
        <v>1</v>
      </c>
      <c r="D49" s="186" t="s">
        <v>59</v>
      </c>
      <c r="E49" s="186" t="s">
        <v>59</v>
      </c>
      <c r="F49" s="187" t="s">
        <v>59</v>
      </c>
      <c r="G49" s="187" t="s">
        <v>59</v>
      </c>
      <c r="H49" s="187"/>
      <c r="I49" s="186"/>
      <c r="J49" s="181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72"/>
      <c r="AB49" s="175" t="str">
        <f t="shared" si="13"/>
        <v>Guille Bueno (A)</v>
      </c>
    </row>
    <row r="50" spans="1:28" s="113" customFormat="1" ht="10.5" customHeight="1" x14ac:dyDescent="0.2">
      <c r="A50" s="198">
        <v>47</v>
      </c>
      <c r="B50" s="199" t="s">
        <v>381</v>
      </c>
      <c r="C50" s="185" t="s">
        <v>1</v>
      </c>
      <c r="D50" s="186" t="s">
        <v>59</v>
      </c>
      <c r="E50" s="186" t="s">
        <v>59</v>
      </c>
      <c r="F50" s="187" t="s">
        <v>59</v>
      </c>
      <c r="G50" s="187" t="s">
        <v>59</v>
      </c>
      <c r="H50" s="187"/>
      <c r="I50" s="186"/>
      <c r="J50" s="181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72"/>
      <c r="AB50" s="175" t="str">
        <f t="shared" ref="AB50" si="15">B50</f>
        <v>Antonis Papadopoulos</v>
      </c>
    </row>
    <row r="51" spans="1:28" s="113" customFormat="1" ht="10.5" customHeight="1" x14ac:dyDescent="0.2">
      <c r="A51" s="200">
        <v>6</v>
      </c>
      <c r="B51" s="190" t="s">
        <v>293</v>
      </c>
      <c r="C51" s="190" t="s">
        <v>2</v>
      </c>
      <c r="D51" s="191" t="s">
        <v>59</v>
      </c>
      <c r="E51" s="191" t="s">
        <v>59</v>
      </c>
      <c r="F51" s="192" t="s">
        <v>59</v>
      </c>
      <c r="G51" s="192" t="s">
        <v>59</v>
      </c>
      <c r="H51" s="192"/>
      <c r="I51" s="191"/>
      <c r="J51" s="181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72"/>
      <c r="AB51" s="175" t="str">
        <f t="shared" ref="AB51:AB61" si="16">B51</f>
        <v>Salih Özcan</v>
      </c>
    </row>
    <row r="52" spans="1:28" s="113" customFormat="1" ht="10.5" customHeight="1" x14ac:dyDescent="0.2">
      <c r="A52" s="200">
        <v>8</v>
      </c>
      <c r="B52" s="190" t="s">
        <v>268</v>
      </c>
      <c r="C52" s="190" t="s">
        <v>2</v>
      </c>
      <c r="D52" s="191" t="s">
        <v>59</v>
      </c>
      <c r="E52" s="191" t="s">
        <v>59</v>
      </c>
      <c r="F52" s="192" t="s">
        <v>59</v>
      </c>
      <c r="G52" s="192" t="s">
        <v>59</v>
      </c>
      <c r="H52" s="192"/>
      <c r="I52" s="191"/>
      <c r="J52" s="181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72"/>
      <c r="AB52" s="175" t="str">
        <f t="shared" ref="AB52:AB59" si="17">B52</f>
        <v>Felix Nmecha</v>
      </c>
    </row>
    <row r="53" spans="1:28" s="113" customFormat="1" ht="10.5" customHeight="1" x14ac:dyDescent="0.2">
      <c r="A53" s="200">
        <v>10</v>
      </c>
      <c r="B53" s="190" t="s">
        <v>644</v>
      </c>
      <c r="C53" s="190" t="s">
        <v>2</v>
      </c>
      <c r="D53" s="191" t="s">
        <v>59</v>
      </c>
      <c r="E53" s="191" t="s">
        <v>59</v>
      </c>
      <c r="F53" s="192" t="s">
        <v>59</v>
      </c>
      <c r="G53" s="192" t="s">
        <v>59</v>
      </c>
      <c r="H53" s="192"/>
      <c r="I53" s="191"/>
      <c r="J53" s="181"/>
      <c r="K53" s="182"/>
      <c r="L53" s="182"/>
      <c r="M53" s="182"/>
      <c r="N53" s="182">
        <v>5</v>
      </c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72"/>
      <c r="AB53" s="175" t="str">
        <f t="shared" si="17"/>
        <v>Jadon Sancho (A)</v>
      </c>
    </row>
    <row r="54" spans="1:28" s="113" customFormat="1" ht="10.5" customHeight="1" x14ac:dyDescent="0.2">
      <c r="A54" s="200">
        <v>11</v>
      </c>
      <c r="B54" s="190" t="s">
        <v>83</v>
      </c>
      <c r="C54" s="190" t="s">
        <v>2</v>
      </c>
      <c r="D54" s="191" t="s">
        <v>59</v>
      </c>
      <c r="E54" s="191" t="s">
        <v>59</v>
      </c>
      <c r="F54" s="192" t="s">
        <v>59</v>
      </c>
      <c r="G54" s="192" t="s">
        <v>59</v>
      </c>
      <c r="H54" s="192"/>
      <c r="I54" s="191"/>
      <c r="J54" s="181"/>
      <c r="K54" s="182">
        <v>6</v>
      </c>
      <c r="L54" s="182">
        <v>8</v>
      </c>
      <c r="M54" s="182">
        <v>8</v>
      </c>
      <c r="N54" s="182">
        <v>6</v>
      </c>
      <c r="O54" s="182"/>
      <c r="P54" s="182">
        <v>7</v>
      </c>
      <c r="Q54" s="182">
        <v>7</v>
      </c>
      <c r="R54" s="182"/>
      <c r="S54" s="182">
        <v>5</v>
      </c>
      <c r="T54" s="182"/>
      <c r="U54" s="182"/>
      <c r="V54" s="182"/>
      <c r="W54" s="182"/>
      <c r="X54" s="182"/>
      <c r="Y54" s="182"/>
      <c r="Z54" s="172"/>
      <c r="AB54" s="175" t="str">
        <f t="shared" si="17"/>
        <v>Marco Reus</v>
      </c>
    </row>
    <row r="55" spans="1:28" s="113" customFormat="1" ht="10.5" customHeight="1" x14ac:dyDescent="0.2">
      <c r="A55" s="200">
        <v>19</v>
      </c>
      <c r="B55" s="190" t="s">
        <v>121</v>
      </c>
      <c r="C55" s="190" t="s">
        <v>2</v>
      </c>
      <c r="D55" s="191" t="s">
        <v>59</v>
      </c>
      <c r="E55" s="191" t="s">
        <v>59</v>
      </c>
      <c r="F55" s="192" t="s">
        <v>59</v>
      </c>
      <c r="G55" s="192" t="s">
        <v>59</v>
      </c>
      <c r="H55" s="192"/>
      <c r="I55" s="191"/>
      <c r="J55" s="181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72"/>
      <c r="AB55" s="175" t="str">
        <f t="shared" si="17"/>
        <v>Julian Brandt</v>
      </c>
    </row>
    <row r="56" spans="1:28" s="113" customFormat="1" ht="10.5" customHeight="1" x14ac:dyDescent="0.2">
      <c r="A56" s="200">
        <v>20</v>
      </c>
      <c r="B56" s="190" t="s">
        <v>411</v>
      </c>
      <c r="C56" s="190" t="s">
        <v>2</v>
      </c>
      <c r="D56" s="191" t="s">
        <v>59</v>
      </c>
      <c r="E56" s="191" t="s">
        <v>59</v>
      </c>
      <c r="F56" s="192" t="s">
        <v>59</v>
      </c>
      <c r="G56" s="192" t="s">
        <v>59</v>
      </c>
      <c r="H56" s="192"/>
      <c r="I56" s="191"/>
      <c r="J56" s="181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72"/>
      <c r="AB56" s="175" t="str">
        <f t="shared" si="17"/>
        <v>Marcel Sabitzer (A)</v>
      </c>
    </row>
    <row r="57" spans="1:28" s="113" customFormat="1" ht="10.5" customHeight="1" x14ac:dyDescent="0.2">
      <c r="A57" s="200">
        <v>23</v>
      </c>
      <c r="B57" s="190" t="s">
        <v>217</v>
      </c>
      <c r="C57" s="190" t="s">
        <v>2</v>
      </c>
      <c r="D57" s="191" t="s">
        <v>59</v>
      </c>
      <c r="E57" s="191" t="s">
        <v>59</v>
      </c>
      <c r="F57" s="192" t="s">
        <v>59</v>
      </c>
      <c r="G57" s="192" t="s">
        <v>59</v>
      </c>
      <c r="H57" s="192"/>
      <c r="I57" s="191"/>
      <c r="J57" s="181"/>
      <c r="K57" s="182"/>
      <c r="L57" s="182"/>
      <c r="M57" s="182"/>
      <c r="N57" s="182"/>
      <c r="O57" s="182">
        <v>7</v>
      </c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72"/>
      <c r="AB57" s="175" t="str">
        <f t="shared" si="17"/>
        <v>Emre Can</v>
      </c>
    </row>
    <row r="58" spans="1:28" s="113" customFormat="1" ht="10.5" customHeight="1" x14ac:dyDescent="0.2">
      <c r="A58" s="200">
        <v>30</v>
      </c>
      <c r="B58" s="190" t="s">
        <v>412</v>
      </c>
      <c r="C58" s="190" t="s">
        <v>2</v>
      </c>
      <c r="D58" s="191" t="s">
        <v>59</v>
      </c>
      <c r="E58" s="191" t="s">
        <v>59</v>
      </c>
      <c r="F58" s="192" t="s">
        <v>59</v>
      </c>
      <c r="G58" s="192" t="s">
        <v>59</v>
      </c>
      <c r="H58" s="192"/>
      <c r="I58" s="191"/>
      <c r="J58" s="181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72"/>
      <c r="AB58" s="175" t="str">
        <f t="shared" si="17"/>
        <v>Ole Pohlmann</v>
      </c>
    </row>
    <row r="59" spans="1:28" s="113" customFormat="1" ht="10.5" customHeight="1" x14ac:dyDescent="0.2">
      <c r="A59" s="200">
        <v>32</v>
      </c>
      <c r="B59" s="190" t="s">
        <v>265</v>
      </c>
      <c r="C59" s="190" t="s">
        <v>2</v>
      </c>
      <c r="D59" s="191" t="s">
        <v>59</v>
      </c>
      <c r="E59" s="191" t="s">
        <v>59</v>
      </c>
      <c r="F59" s="192" t="s">
        <v>59</v>
      </c>
      <c r="G59" s="192" t="s">
        <v>59</v>
      </c>
      <c r="H59" s="192"/>
      <c r="I59" s="191"/>
      <c r="J59" s="181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72"/>
      <c r="AB59" s="175" t="str">
        <f t="shared" si="17"/>
        <v>Abdoulaye Kamara (A)</v>
      </c>
    </row>
    <row r="60" spans="1:28" s="113" customFormat="1" ht="10.5" customHeight="1" x14ac:dyDescent="0.2">
      <c r="A60" s="200">
        <v>38</v>
      </c>
      <c r="B60" s="190" t="s">
        <v>665</v>
      </c>
      <c r="C60" s="190" t="s">
        <v>2</v>
      </c>
      <c r="D60" s="191" t="s">
        <v>59</v>
      </c>
      <c r="E60" s="191" t="s">
        <v>59</v>
      </c>
      <c r="F60" s="192" t="s">
        <v>59</v>
      </c>
      <c r="G60" s="192" t="s">
        <v>59</v>
      </c>
      <c r="H60" s="192"/>
      <c r="I60" s="191"/>
      <c r="J60" s="181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72"/>
      <c r="AB60" s="175" t="str">
        <f t="shared" ref="AB60" si="18">B60</f>
        <v>Kjell Wätjen</v>
      </c>
    </row>
    <row r="61" spans="1:28" s="113" customFormat="1" ht="10.5" customHeight="1" x14ac:dyDescent="0.2">
      <c r="A61" s="200">
        <v>48</v>
      </c>
      <c r="B61" s="190" t="s">
        <v>544</v>
      </c>
      <c r="C61" s="190" t="s">
        <v>2</v>
      </c>
      <c r="D61" s="191" t="s">
        <v>59</v>
      </c>
      <c r="E61" s="191" t="s">
        <v>59</v>
      </c>
      <c r="F61" s="192" t="s">
        <v>59</v>
      </c>
      <c r="G61" s="192" t="s">
        <v>59</v>
      </c>
      <c r="H61" s="192"/>
      <c r="I61" s="191"/>
      <c r="J61" s="181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72"/>
      <c r="AB61" s="175" t="str">
        <f t="shared" si="16"/>
        <v>Samuel Bamba</v>
      </c>
    </row>
    <row r="62" spans="1:28" ht="10.5" customHeight="1" x14ac:dyDescent="0.2">
      <c r="A62" s="201">
        <v>9</v>
      </c>
      <c r="B62" s="195" t="s">
        <v>326</v>
      </c>
      <c r="C62" s="195" t="s">
        <v>3</v>
      </c>
      <c r="D62" s="196" t="s">
        <v>59</v>
      </c>
      <c r="E62" s="196" t="s">
        <v>59</v>
      </c>
      <c r="F62" s="196" t="s">
        <v>59</v>
      </c>
      <c r="G62" s="196" t="s">
        <v>59</v>
      </c>
      <c r="H62" s="197"/>
      <c r="I62" s="196"/>
      <c r="J62" s="181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AB62" s="175" t="str">
        <f>B62</f>
        <v>Sebastien Haller (A)</v>
      </c>
    </row>
    <row r="63" spans="1:28" ht="10.5" customHeight="1" x14ac:dyDescent="0.2">
      <c r="A63" s="201">
        <v>14</v>
      </c>
      <c r="B63" s="195" t="s">
        <v>372</v>
      </c>
      <c r="C63" s="195" t="s">
        <v>3</v>
      </c>
      <c r="D63" s="196" t="s">
        <v>59</v>
      </c>
      <c r="E63" s="196" t="s">
        <v>59</v>
      </c>
      <c r="F63" s="196" t="s">
        <v>59</v>
      </c>
      <c r="G63" s="196" t="s">
        <v>59</v>
      </c>
      <c r="H63" s="197"/>
      <c r="I63" s="196"/>
      <c r="J63" s="181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AB63" s="175" t="str">
        <f>B63</f>
        <v>Niclas Füllkrug</v>
      </c>
    </row>
    <row r="64" spans="1:28" ht="10.5" customHeight="1" x14ac:dyDescent="0.2">
      <c r="A64" s="201">
        <v>16</v>
      </c>
      <c r="B64" s="195" t="s">
        <v>390</v>
      </c>
      <c r="C64" s="195" t="s">
        <v>3</v>
      </c>
      <c r="D64" s="196" t="s">
        <v>59</v>
      </c>
      <c r="E64" s="196" t="s">
        <v>59</v>
      </c>
      <c r="F64" s="196" t="s">
        <v>59</v>
      </c>
      <c r="G64" s="196" t="s">
        <v>59</v>
      </c>
      <c r="H64" s="197"/>
      <c r="I64" s="196"/>
      <c r="J64" s="181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AB64" s="175" t="str">
        <f>B64</f>
        <v>Julien Duranville (A)</v>
      </c>
    </row>
    <row r="65" spans="1:28" ht="10.5" customHeight="1" x14ac:dyDescent="0.2">
      <c r="A65" s="201">
        <v>18</v>
      </c>
      <c r="B65" s="195" t="s">
        <v>266</v>
      </c>
      <c r="C65" s="195" t="s">
        <v>3</v>
      </c>
      <c r="D65" s="196" t="s">
        <v>59</v>
      </c>
      <c r="E65" s="196" t="s">
        <v>59</v>
      </c>
      <c r="F65" s="196" t="s">
        <v>59</v>
      </c>
      <c r="G65" s="196" t="s">
        <v>59</v>
      </c>
      <c r="H65" s="197"/>
      <c r="I65" s="196"/>
      <c r="J65" s="181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AB65" s="175" t="str">
        <f t="shared" ref="AB65:AB69" si="19">B65</f>
        <v xml:space="preserve">Youssoufa Moukoko </v>
      </c>
    </row>
    <row r="66" spans="1:28" ht="10.5" customHeight="1" x14ac:dyDescent="0.2">
      <c r="A66" s="201">
        <v>21</v>
      </c>
      <c r="B66" s="195" t="s">
        <v>267</v>
      </c>
      <c r="C66" s="195" t="s">
        <v>3</v>
      </c>
      <c r="D66" s="196" t="s">
        <v>59</v>
      </c>
      <c r="E66" s="196" t="s">
        <v>59</v>
      </c>
      <c r="F66" s="196" t="s">
        <v>59</v>
      </c>
      <c r="G66" s="196" t="s">
        <v>59</v>
      </c>
      <c r="H66" s="197"/>
      <c r="I66" s="196"/>
      <c r="J66" s="181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AB66" s="175" t="str">
        <f t="shared" ref="AB66" si="20">B66</f>
        <v>Donyell Malen (A)</v>
      </c>
    </row>
    <row r="67" spans="1:28" ht="10.5" customHeight="1" x14ac:dyDescent="0.2">
      <c r="A67" s="201">
        <v>27</v>
      </c>
      <c r="B67" s="195" t="s">
        <v>327</v>
      </c>
      <c r="C67" s="195" t="s">
        <v>3</v>
      </c>
      <c r="D67" s="196" t="s">
        <v>59</v>
      </c>
      <c r="E67" s="196" t="s">
        <v>59</v>
      </c>
      <c r="F67" s="196" t="s">
        <v>59</v>
      </c>
      <c r="G67" s="196" t="s">
        <v>59</v>
      </c>
      <c r="H67" s="197"/>
      <c r="I67" s="196"/>
      <c r="J67" s="181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AB67" s="175" t="str">
        <f t="shared" si="19"/>
        <v>Karim Adeyemi</v>
      </c>
    </row>
    <row r="68" spans="1:28" ht="9.75" customHeight="1" x14ac:dyDescent="0.2">
      <c r="A68" s="201">
        <v>29</v>
      </c>
      <c r="B68" s="195" t="s">
        <v>625</v>
      </c>
      <c r="C68" s="195" t="s">
        <v>3</v>
      </c>
      <c r="D68" s="196" t="s">
        <v>59</v>
      </c>
      <c r="E68" s="196" t="s">
        <v>59</v>
      </c>
      <c r="F68" s="196" t="s">
        <v>59</v>
      </c>
      <c r="G68" s="196" t="s">
        <v>59</v>
      </c>
      <c r="H68" s="197"/>
      <c r="I68" s="196"/>
      <c r="J68" s="181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AB68" s="175" t="str">
        <f t="shared" ref="AB68" si="21">B68</f>
        <v>Paris Brunner</v>
      </c>
    </row>
    <row r="69" spans="1:28" ht="9.75" customHeight="1" x14ac:dyDescent="0.2">
      <c r="A69" s="201">
        <v>43</v>
      </c>
      <c r="B69" s="195" t="s">
        <v>328</v>
      </c>
      <c r="C69" s="195" t="s">
        <v>3</v>
      </c>
      <c r="D69" s="196" t="s">
        <v>59</v>
      </c>
      <c r="E69" s="196" t="s">
        <v>59</v>
      </c>
      <c r="F69" s="196" t="s">
        <v>59</v>
      </c>
      <c r="G69" s="196" t="s">
        <v>59</v>
      </c>
      <c r="H69" s="197"/>
      <c r="I69" s="196"/>
      <c r="J69" s="181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AB69" s="175" t="str">
        <f t="shared" si="19"/>
        <v>Jamie Bynoe-Gittens (A)</v>
      </c>
    </row>
    <row r="70" spans="1:28" ht="15" customHeight="1" thickBot="1" x14ac:dyDescent="0.25">
      <c r="A70" s="220" t="s">
        <v>128</v>
      </c>
      <c r="B70" s="220"/>
      <c r="C70" s="220"/>
      <c r="D70" s="220"/>
      <c r="E70" s="220"/>
      <c r="F70" s="220"/>
      <c r="G70" s="220"/>
      <c r="H70" s="220"/>
      <c r="I70" s="220"/>
      <c r="J70" s="10"/>
      <c r="K70" s="176">
        <v>12</v>
      </c>
      <c r="L70" s="176">
        <v>12</v>
      </c>
      <c r="M70" s="176">
        <v>12</v>
      </c>
      <c r="N70" s="176">
        <v>12</v>
      </c>
      <c r="O70" s="176">
        <v>12</v>
      </c>
      <c r="P70" s="176">
        <v>12</v>
      </c>
      <c r="Q70" s="176">
        <v>12</v>
      </c>
      <c r="R70" s="176">
        <v>12</v>
      </c>
      <c r="S70" s="176">
        <v>12</v>
      </c>
      <c r="T70" s="176">
        <v>12</v>
      </c>
      <c r="U70" s="176">
        <v>12</v>
      </c>
      <c r="V70" s="176">
        <v>12</v>
      </c>
      <c r="W70" s="176">
        <v>12</v>
      </c>
      <c r="X70" s="176">
        <v>12</v>
      </c>
      <c r="Y70" s="176">
        <v>12</v>
      </c>
      <c r="Z70" s="217"/>
      <c r="AB70" s="175" t="str">
        <f>A70</f>
        <v>RB Leipzig</v>
      </c>
    </row>
    <row r="71" spans="1:28" ht="10.5" customHeight="1" x14ac:dyDescent="0.2">
      <c r="A71" s="177">
        <v>1</v>
      </c>
      <c r="B71" s="178" t="s">
        <v>566</v>
      </c>
      <c r="C71" s="178" t="s">
        <v>0</v>
      </c>
      <c r="D71" s="179" t="s">
        <v>59</v>
      </c>
      <c r="E71" s="179" t="s">
        <v>59</v>
      </c>
      <c r="F71" s="180" t="s">
        <v>59</v>
      </c>
      <c r="G71" s="180" t="s">
        <v>59</v>
      </c>
      <c r="H71" s="180"/>
      <c r="I71" s="179"/>
      <c r="J71" s="181"/>
      <c r="K71" s="182"/>
      <c r="L71" s="182"/>
      <c r="M71" s="182"/>
      <c r="N71" s="182"/>
      <c r="O71" s="182"/>
      <c r="P71" s="182"/>
      <c r="Q71" s="182"/>
      <c r="R71" s="182"/>
      <c r="S71" s="182">
        <v>1</v>
      </c>
      <c r="T71" s="182"/>
      <c r="U71" s="182"/>
      <c r="V71" s="182"/>
      <c r="W71" s="182"/>
      <c r="X71" s="182"/>
      <c r="Y71" s="182"/>
      <c r="AB71" s="175" t="str">
        <f t="shared" ref="AB71:AB83" si="22">B71</f>
        <v>Péter Gulácsi (A)</v>
      </c>
    </row>
    <row r="72" spans="1:28" ht="10.5" customHeight="1" x14ac:dyDescent="0.2">
      <c r="A72" s="177">
        <v>21</v>
      </c>
      <c r="B72" s="178" t="s">
        <v>330</v>
      </c>
      <c r="C72" s="178" t="s">
        <v>0</v>
      </c>
      <c r="D72" s="179" t="s">
        <v>59</v>
      </c>
      <c r="E72" s="179" t="s">
        <v>59</v>
      </c>
      <c r="F72" s="180" t="s">
        <v>59</v>
      </c>
      <c r="G72" s="180" t="s">
        <v>59</v>
      </c>
      <c r="H72" s="180"/>
      <c r="I72" s="179"/>
      <c r="J72" s="181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AB72" s="175" t="str">
        <f t="shared" si="22"/>
        <v>Janis Blaswich</v>
      </c>
    </row>
    <row r="73" spans="1:28" ht="10.5" customHeight="1" x14ac:dyDescent="0.2">
      <c r="A73" s="177">
        <v>25</v>
      </c>
      <c r="B73" s="178" t="s">
        <v>413</v>
      </c>
      <c r="C73" s="178" t="s">
        <v>0</v>
      </c>
      <c r="D73" s="179" t="s">
        <v>59</v>
      </c>
      <c r="E73" s="179" t="s">
        <v>59</v>
      </c>
      <c r="F73" s="180" t="s">
        <v>59</v>
      </c>
      <c r="G73" s="180" t="s">
        <v>59</v>
      </c>
      <c r="H73" s="180"/>
      <c r="I73" s="179"/>
      <c r="J73" s="181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AB73" s="175" t="str">
        <f t="shared" si="22"/>
        <v>Leopold Zingerle</v>
      </c>
    </row>
    <row r="74" spans="1:28" ht="10.5" customHeight="1" x14ac:dyDescent="0.2">
      <c r="A74" s="177">
        <v>36</v>
      </c>
      <c r="B74" s="178" t="s">
        <v>331</v>
      </c>
      <c r="C74" s="178" t="s">
        <v>0</v>
      </c>
      <c r="D74" s="179" t="s">
        <v>59</v>
      </c>
      <c r="E74" s="179" t="s">
        <v>59</v>
      </c>
      <c r="F74" s="180" t="s">
        <v>59</v>
      </c>
      <c r="G74" s="180" t="s">
        <v>59</v>
      </c>
      <c r="H74" s="180"/>
      <c r="I74" s="179"/>
      <c r="J74" s="181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AB74" s="175" t="str">
        <f t="shared" ref="AB74:AB75" si="23">B74</f>
        <v>Timo Schlieck</v>
      </c>
    </row>
    <row r="75" spans="1:28" ht="10.5" customHeight="1" x14ac:dyDescent="0.2">
      <c r="A75" s="198">
        <v>2</v>
      </c>
      <c r="B75" s="199" t="s">
        <v>263</v>
      </c>
      <c r="C75" s="185" t="s">
        <v>1</v>
      </c>
      <c r="D75" s="186" t="s">
        <v>59</v>
      </c>
      <c r="E75" s="186" t="s">
        <v>59</v>
      </c>
      <c r="F75" s="187" t="s">
        <v>59</v>
      </c>
      <c r="G75" s="187" t="s">
        <v>59</v>
      </c>
      <c r="H75" s="187"/>
      <c r="I75" s="186"/>
      <c r="J75" s="181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AB75" s="175" t="str">
        <f t="shared" si="23"/>
        <v>Mohamed Simakan (A)</v>
      </c>
    </row>
    <row r="76" spans="1:28" ht="10.5" customHeight="1" x14ac:dyDescent="0.2">
      <c r="A76" s="198">
        <v>3</v>
      </c>
      <c r="B76" s="199" t="s">
        <v>208</v>
      </c>
      <c r="C76" s="185" t="s">
        <v>1</v>
      </c>
      <c r="D76" s="186" t="s">
        <v>59</v>
      </c>
      <c r="E76" s="186" t="s">
        <v>59</v>
      </c>
      <c r="F76" s="187" t="s">
        <v>59</v>
      </c>
      <c r="G76" s="187" t="s">
        <v>59</v>
      </c>
      <c r="H76" s="187"/>
      <c r="I76" s="186"/>
      <c r="J76" s="181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AB76" s="175" t="str">
        <f t="shared" ref="AB76" si="24">B76</f>
        <v>Christopher Lenz</v>
      </c>
    </row>
    <row r="77" spans="1:28" ht="10.5" customHeight="1" x14ac:dyDescent="0.2">
      <c r="A77" s="198">
        <v>4</v>
      </c>
      <c r="B77" s="199" t="s">
        <v>145</v>
      </c>
      <c r="C77" s="185" t="s">
        <v>1</v>
      </c>
      <c r="D77" s="186" t="s">
        <v>59</v>
      </c>
      <c r="E77" s="186" t="s">
        <v>59</v>
      </c>
      <c r="F77" s="187" t="s">
        <v>59</v>
      </c>
      <c r="G77" s="187" t="s">
        <v>59</v>
      </c>
      <c r="H77" s="187"/>
      <c r="I77" s="186"/>
      <c r="J77" s="181"/>
      <c r="K77" s="182"/>
      <c r="L77" s="182">
        <v>4</v>
      </c>
      <c r="M77" s="182">
        <v>2</v>
      </c>
      <c r="N77" s="182">
        <v>4</v>
      </c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AB77" s="175" t="str">
        <f t="shared" si="22"/>
        <v>Willi Orban</v>
      </c>
    </row>
    <row r="78" spans="1:28" ht="10.5" customHeight="1" x14ac:dyDescent="0.2">
      <c r="A78" s="198">
        <v>5</v>
      </c>
      <c r="B78" s="199" t="s">
        <v>414</v>
      </c>
      <c r="C78" s="185" t="s">
        <v>1</v>
      </c>
      <c r="D78" s="186" t="s">
        <v>59</v>
      </c>
      <c r="E78" s="186" t="s">
        <v>59</v>
      </c>
      <c r="F78" s="187" t="s">
        <v>59</v>
      </c>
      <c r="G78" s="187" t="s">
        <v>59</v>
      </c>
      <c r="H78" s="187"/>
      <c r="I78" s="186"/>
      <c r="J78" s="181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AB78" s="175" t="str">
        <f t="shared" si="22"/>
        <v>El Chadaille Bitshiabu (A)</v>
      </c>
    </row>
    <row r="79" spans="1:28" ht="10.5" customHeight="1" x14ac:dyDescent="0.2">
      <c r="A79" s="198">
        <v>16</v>
      </c>
      <c r="B79" s="199" t="s">
        <v>149</v>
      </c>
      <c r="C79" s="185" t="s">
        <v>1</v>
      </c>
      <c r="D79" s="186" t="s">
        <v>59</v>
      </c>
      <c r="E79" s="186" t="s">
        <v>59</v>
      </c>
      <c r="F79" s="187" t="s">
        <v>59</v>
      </c>
      <c r="G79" s="187" t="s">
        <v>59</v>
      </c>
      <c r="H79" s="187"/>
      <c r="I79" s="186"/>
      <c r="J79" s="181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AB79" s="175" t="str">
        <f t="shared" si="22"/>
        <v>Lukas Klostermann</v>
      </c>
    </row>
    <row r="80" spans="1:28" ht="10.5" customHeight="1" x14ac:dyDescent="0.2">
      <c r="A80" s="198">
        <v>22</v>
      </c>
      <c r="B80" s="199" t="s">
        <v>282</v>
      </c>
      <c r="C80" s="185" t="s">
        <v>1</v>
      </c>
      <c r="D80" s="186" t="s">
        <v>59</v>
      </c>
      <c r="E80" s="186" t="s">
        <v>59</v>
      </c>
      <c r="F80" s="187" t="s">
        <v>59</v>
      </c>
      <c r="G80" s="187" t="s">
        <v>59</v>
      </c>
      <c r="H80" s="187"/>
      <c r="I80" s="186"/>
      <c r="J80" s="181"/>
      <c r="K80" s="182"/>
      <c r="L80" s="182"/>
      <c r="M80" s="182"/>
      <c r="N80" s="182"/>
      <c r="O80" s="182">
        <v>2</v>
      </c>
      <c r="P80" s="182">
        <v>2</v>
      </c>
      <c r="Q80" s="182">
        <v>2</v>
      </c>
      <c r="R80" s="182">
        <v>2</v>
      </c>
      <c r="S80" s="182"/>
      <c r="T80" s="182"/>
      <c r="U80" s="182"/>
      <c r="V80" s="182"/>
      <c r="W80" s="182"/>
      <c r="X80" s="182"/>
      <c r="Y80" s="182"/>
      <c r="AB80" s="175" t="str">
        <f t="shared" si="22"/>
        <v>David Raum</v>
      </c>
    </row>
    <row r="81" spans="1:28" ht="10.5" customHeight="1" x14ac:dyDescent="0.2">
      <c r="A81" s="198">
        <v>23</v>
      </c>
      <c r="B81" s="199" t="s">
        <v>542</v>
      </c>
      <c r="C81" s="185" t="s">
        <v>1</v>
      </c>
      <c r="D81" s="186" t="s">
        <v>59</v>
      </c>
      <c r="E81" s="186" t="s">
        <v>59</v>
      </c>
      <c r="F81" s="187" t="s">
        <v>59</v>
      </c>
      <c r="G81" s="187" t="s">
        <v>59</v>
      </c>
      <c r="H81" s="187"/>
      <c r="I81" s="186"/>
      <c r="J81" s="181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AB81" s="175" t="str">
        <f t="shared" si="22"/>
        <v>Castello Lukeba (A)</v>
      </c>
    </row>
    <row r="82" spans="1:28" ht="10.5" customHeight="1" x14ac:dyDescent="0.2">
      <c r="A82" s="198">
        <v>31</v>
      </c>
      <c r="B82" s="199" t="s">
        <v>626</v>
      </c>
      <c r="C82" s="185" t="s">
        <v>1</v>
      </c>
      <c r="D82" s="186" t="s">
        <v>59</v>
      </c>
      <c r="E82" s="186" t="s">
        <v>59</v>
      </c>
      <c r="F82" s="187" t="s">
        <v>59</v>
      </c>
      <c r="G82" s="187" t="s">
        <v>59</v>
      </c>
      <c r="H82" s="187"/>
      <c r="I82" s="186"/>
      <c r="J82" s="181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AB82" s="175" t="str">
        <f t="shared" ref="AB82" si="25">B82</f>
        <v>Tim Köhler</v>
      </c>
    </row>
    <row r="83" spans="1:28" ht="10.5" customHeight="1" x14ac:dyDescent="0.2">
      <c r="A83" s="198">
        <v>39</v>
      </c>
      <c r="B83" s="199" t="s">
        <v>228</v>
      </c>
      <c r="C83" s="185" t="s">
        <v>1</v>
      </c>
      <c r="D83" s="186" t="s">
        <v>59</v>
      </c>
      <c r="E83" s="186" t="s">
        <v>59</v>
      </c>
      <c r="F83" s="187" t="s">
        <v>59</v>
      </c>
      <c r="G83" s="187" t="s">
        <v>59</v>
      </c>
      <c r="H83" s="187"/>
      <c r="I83" s="186"/>
      <c r="J83" s="181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AB83" s="175" t="str">
        <f t="shared" si="22"/>
        <v>Benjamin Henrichs</v>
      </c>
    </row>
    <row r="84" spans="1:28" ht="10.5" customHeight="1" x14ac:dyDescent="0.2">
      <c r="A84" s="200">
        <v>6</v>
      </c>
      <c r="B84" s="190" t="s">
        <v>638</v>
      </c>
      <c r="C84" s="190" t="s">
        <v>2</v>
      </c>
      <c r="D84" s="191" t="s">
        <v>59</v>
      </c>
      <c r="E84" s="191" t="s">
        <v>59</v>
      </c>
      <c r="F84" s="192" t="s">
        <v>59</v>
      </c>
      <c r="G84" s="192" t="s">
        <v>59</v>
      </c>
      <c r="H84" s="192"/>
      <c r="I84" s="191"/>
      <c r="J84" s="181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AB84" s="175" t="str">
        <f t="shared" ref="AB84:AB89" si="26">B84</f>
        <v>Eljif Elmans (A)</v>
      </c>
    </row>
    <row r="85" spans="1:28" ht="10.5" customHeight="1" x14ac:dyDescent="0.2">
      <c r="A85" s="200">
        <v>7</v>
      </c>
      <c r="B85" s="190" t="s">
        <v>216</v>
      </c>
      <c r="C85" s="190" t="s">
        <v>2</v>
      </c>
      <c r="D85" s="191"/>
      <c r="E85" s="191"/>
      <c r="F85" s="192"/>
      <c r="G85" s="192"/>
      <c r="H85" s="192"/>
      <c r="I85" s="191"/>
      <c r="J85" s="181"/>
      <c r="K85" s="182"/>
      <c r="L85" s="182"/>
      <c r="M85" s="182"/>
      <c r="N85" s="182"/>
      <c r="O85" s="182"/>
      <c r="P85" s="182"/>
      <c r="Q85" s="182">
        <v>8</v>
      </c>
      <c r="R85" s="182"/>
      <c r="S85" s="182"/>
      <c r="T85" s="182"/>
      <c r="U85" s="182"/>
      <c r="V85" s="182"/>
      <c r="W85" s="182"/>
      <c r="X85" s="182"/>
      <c r="Y85" s="182"/>
      <c r="AB85" s="175" t="str">
        <f t="shared" si="26"/>
        <v>Dani Olmo (A)</v>
      </c>
    </row>
    <row r="86" spans="1:28" ht="10.5" customHeight="1" x14ac:dyDescent="0.2">
      <c r="A86" s="200">
        <v>8</v>
      </c>
      <c r="B86" s="190" t="s">
        <v>184</v>
      </c>
      <c r="C86" s="190" t="s">
        <v>2</v>
      </c>
      <c r="D86" s="191"/>
      <c r="E86" s="191"/>
      <c r="F86" s="192"/>
      <c r="G86" s="192"/>
      <c r="H86" s="192"/>
      <c r="I86" s="191"/>
      <c r="J86" s="181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  <c r="AB86" s="175" t="str">
        <f t="shared" si="26"/>
        <v>Amadou Haidara (A)</v>
      </c>
    </row>
    <row r="87" spans="1:28" ht="10.5" customHeight="1" x14ac:dyDescent="0.2">
      <c r="A87" s="200">
        <v>13</v>
      </c>
      <c r="B87" s="190" t="s">
        <v>415</v>
      </c>
      <c r="C87" s="190" t="s">
        <v>2</v>
      </c>
      <c r="D87" s="191"/>
      <c r="E87" s="191"/>
      <c r="F87" s="192"/>
      <c r="G87" s="192"/>
      <c r="H87" s="192"/>
      <c r="I87" s="191"/>
      <c r="J87" s="181"/>
      <c r="K87" s="182"/>
      <c r="L87" s="182"/>
      <c r="M87" s="182"/>
      <c r="N87" s="182"/>
      <c r="O87" s="182"/>
      <c r="P87" s="182"/>
      <c r="Q87" s="182"/>
      <c r="R87" s="182"/>
      <c r="S87" s="182"/>
      <c r="T87" s="182"/>
      <c r="U87" s="182"/>
      <c r="V87" s="182"/>
      <c r="W87" s="182"/>
      <c r="X87" s="182"/>
      <c r="Y87" s="182"/>
      <c r="AB87" s="175" t="str">
        <f t="shared" si="26"/>
        <v>Nicolas Seiwald (A)</v>
      </c>
    </row>
    <row r="88" spans="1:28" ht="10.5" customHeight="1" x14ac:dyDescent="0.2">
      <c r="A88" s="200">
        <v>14</v>
      </c>
      <c r="B88" s="190" t="s">
        <v>163</v>
      </c>
      <c r="C88" s="190" t="s">
        <v>2</v>
      </c>
      <c r="D88" s="191"/>
      <c r="E88" s="191"/>
      <c r="F88" s="192"/>
      <c r="G88" s="192"/>
      <c r="H88" s="192"/>
      <c r="I88" s="191"/>
      <c r="J88" s="181"/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182"/>
      <c r="V88" s="182"/>
      <c r="W88" s="182"/>
      <c r="X88" s="182"/>
      <c r="Y88" s="182"/>
      <c r="AB88" s="175" t="str">
        <f t="shared" si="26"/>
        <v>Christoph Baumgartner (A)</v>
      </c>
    </row>
    <row r="89" spans="1:28" ht="10.5" customHeight="1" x14ac:dyDescent="0.2">
      <c r="A89" s="200">
        <v>20</v>
      </c>
      <c r="B89" s="190" t="s">
        <v>416</v>
      </c>
      <c r="C89" s="190" t="s">
        <v>2</v>
      </c>
      <c r="D89" s="191" t="s">
        <v>59</v>
      </c>
      <c r="E89" s="191" t="s">
        <v>59</v>
      </c>
      <c r="F89" s="192" t="s">
        <v>59</v>
      </c>
      <c r="G89" s="192" t="s">
        <v>59</v>
      </c>
      <c r="H89" s="192"/>
      <c r="I89" s="191"/>
      <c r="J89" s="181"/>
      <c r="K89" s="182"/>
      <c r="L89" s="182"/>
      <c r="M89" s="182"/>
      <c r="N89" s="182"/>
      <c r="O89" s="182">
        <v>8</v>
      </c>
      <c r="P89" s="182"/>
      <c r="Q89" s="182"/>
      <c r="R89" s="182"/>
      <c r="S89" s="182">
        <v>6</v>
      </c>
      <c r="T89" s="182"/>
      <c r="U89" s="182"/>
      <c r="V89" s="182"/>
      <c r="W89" s="182"/>
      <c r="X89" s="182"/>
      <c r="Y89" s="182"/>
      <c r="AB89" s="175" t="str">
        <f t="shared" si="26"/>
        <v>Xavi Simons (A)</v>
      </c>
    </row>
    <row r="90" spans="1:28" ht="10.5" customHeight="1" x14ac:dyDescent="0.2">
      <c r="A90" s="200">
        <v>24</v>
      </c>
      <c r="B90" s="190" t="s">
        <v>189</v>
      </c>
      <c r="C90" s="190" t="s">
        <v>2</v>
      </c>
      <c r="D90" s="191" t="s">
        <v>59</v>
      </c>
      <c r="E90" s="191" t="s">
        <v>59</v>
      </c>
      <c r="F90" s="192" t="s">
        <v>59</v>
      </c>
      <c r="G90" s="192" t="s">
        <v>59</v>
      </c>
      <c r="H90" s="192"/>
      <c r="I90" s="191"/>
      <c r="J90" s="181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182"/>
      <c r="W90" s="182"/>
      <c r="X90" s="182"/>
      <c r="Y90" s="182"/>
      <c r="AB90" s="175" t="str">
        <f t="shared" ref="AB90:AB91" si="27">B90</f>
        <v>Xaver Schlager (A)</v>
      </c>
    </row>
    <row r="91" spans="1:28" ht="10.5" customHeight="1" x14ac:dyDescent="0.2">
      <c r="A91" s="200">
        <v>38</v>
      </c>
      <c r="B91" s="190" t="s">
        <v>660</v>
      </c>
      <c r="C91" s="190" t="s">
        <v>2</v>
      </c>
      <c r="D91" s="191" t="s">
        <v>59</v>
      </c>
      <c r="E91" s="191" t="s">
        <v>59</v>
      </c>
      <c r="F91" s="192" t="s">
        <v>59</v>
      </c>
      <c r="G91" s="192" t="s">
        <v>59</v>
      </c>
      <c r="H91" s="192"/>
      <c r="I91" s="191"/>
      <c r="J91" s="181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  <c r="V91" s="182"/>
      <c r="W91" s="182"/>
      <c r="X91" s="182"/>
      <c r="Y91" s="182"/>
      <c r="AB91" s="175" t="str">
        <f t="shared" si="27"/>
        <v>Nuha Jatta</v>
      </c>
    </row>
    <row r="92" spans="1:28" ht="10.5" customHeight="1" x14ac:dyDescent="0.2">
      <c r="A92" s="200">
        <v>44</v>
      </c>
      <c r="B92" s="190" t="s">
        <v>126</v>
      </c>
      <c r="C92" s="190" t="s">
        <v>2</v>
      </c>
      <c r="D92" s="191" t="s">
        <v>59</v>
      </c>
      <c r="E92" s="191" t="s">
        <v>59</v>
      </c>
      <c r="F92" s="192" t="s">
        <v>59</v>
      </c>
      <c r="G92" s="192" t="s">
        <v>59</v>
      </c>
      <c r="H92" s="192"/>
      <c r="I92" s="191"/>
      <c r="J92" s="181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  <c r="X92" s="182"/>
      <c r="Y92" s="182"/>
      <c r="AB92" s="175" t="str">
        <f t="shared" ref="AB92" si="28">B92</f>
        <v>Kevin Kampl (A)</v>
      </c>
    </row>
    <row r="93" spans="1:28" ht="10.5" customHeight="1" x14ac:dyDescent="0.2">
      <c r="A93" s="201">
        <v>9</v>
      </c>
      <c r="B93" s="195" t="s">
        <v>137</v>
      </c>
      <c r="C93" s="195" t="s">
        <v>3</v>
      </c>
      <c r="D93" s="196" t="s">
        <v>59</v>
      </c>
      <c r="E93" s="196" t="s">
        <v>59</v>
      </c>
      <c r="F93" s="197" t="s">
        <v>59</v>
      </c>
      <c r="G93" s="197" t="s">
        <v>59</v>
      </c>
      <c r="H93" s="197"/>
      <c r="I93" s="196"/>
      <c r="J93" s="181"/>
      <c r="K93" s="182"/>
      <c r="L93" s="182"/>
      <c r="M93" s="182"/>
      <c r="N93" s="182"/>
      <c r="O93" s="182"/>
      <c r="P93" s="182"/>
      <c r="Q93" s="182"/>
      <c r="R93" s="182"/>
      <c r="S93" s="182"/>
      <c r="T93" s="182"/>
      <c r="U93" s="182"/>
      <c r="V93" s="182"/>
      <c r="W93" s="182"/>
      <c r="X93" s="182"/>
      <c r="Y93" s="182"/>
      <c r="AB93" s="175" t="str">
        <f>B93</f>
        <v>Yussuf Poulsen (A)</v>
      </c>
    </row>
    <row r="94" spans="1:28" ht="10.5" customHeight="1" x14ac:dyDescent="0.2">
      <c r="A94" s="201">
        <v>17</v>
      </c>
      <c r="B94" s="195" t="s">
        <v>565</v>
      </c>
      <c r="C94" s="195" t="s">
        <v>3</v>
      </c>
      <c r="D94" s="196" t="s">
        <v>59</v>
      </c>
      <c r="E94" s="196" t="s">
        <v>59</v>
      </c>
      <c r="F94" s="197" t="s">
        <v>59</v>
      </c>
      <c r="G94" s="197" t="s">
        <v>59</v>
      </c>
      <c r="H94" s="197"/>
      <c r="I94" s="196"/>
      <c r="J94" s="181"/>
      <c r="K94" s="182">
        <v>10</v>
      </c>
      <c r="L94" s="182">
        <v>10</v>
      </c>
      <c r="M94" s="182"/>
      <c r="N94" s="182"/>
      <c r="O94" s="182"/>
      <c r="P94" s="182"/>
      <c r="Q94" s="182"/>
      <c r="R94" s="182">
        <v>11</v>
      </c>
      <c r="S94" s="182"/>
      <c r="T94" s="182"/>
      <c r="U94" s="182"/>
      <c r="V94" s="182"/>
      <c r="W94" s="182"/>
      <c r="X94" s="182"/>
      <c r="Y94" s="182"/>
      <c r="AB94" s="175" t="str">
        <f t="shared" ref="AB94:AB96" si="29">B94</f>
        <v>Loїs Openda (A)</v>
      </c>
    </row>
    <row r="95" spans="1:28" ht="10.5" customHeight="1" x14ac:dyDescent="0.2">
      <c r="A95" s="201">
        <v>30</v>
      </c>
      <c r="B95" s="195" t="s">
        <v>567</v>
      </c>
      <c r="C95" s="195" t="s">
        <v>3</v>
      </c>
      <c r="D95" s="196" t="s">
        <v>59</v>
      </c>
      <c r="E95" s="196" t="s">
        <v>59</v>
      </c>
      <c r="F95" s="197" t="s">
        <v>59</v>
      </c>
      <c r="G95" s="197" t="s">
        <v>59</v>
      </c>
      <c r="H95" s="197"/>
      <c r="I95" s="196"/>
      <c r="J95" s="181"/>
      <c r="K95" s="182"/>
      <c r="L95" s="182"/>
      <c r="M95" s="182"/>
      <c r="N95" s="182">
        <v>11</v>
      </c>
      <c r="O95" s="182"/>
      <c r="P95" s="182">
        <v>11</v>
      </c>
      <c r="Q95" s="182"/>
      <c r="R95" s="182"/>
      <c r="S95" s="182"/>
      <c r="T95" s="182"/>
      <c r="U95" s="182"/>
      <c r="V95" s="182"/>
      <c r="W95" s="182"/>
      <c r="X95" s="182"/>
      <c r="Y95" s="182"/>
      <c r="AB95" s="175" t="str">
        <f t="shared" ref="AB95" si="30">B95</f>
        <v>Benjamin Šeško (A)</v>
      </c>
    </row>
    <row r="96" spans="1:28" ht="10.5" customHeight="1" x14ac:dyDescent="0.2">
      <c r="A96" s="201">
        <v>46</v>
      </c>
      <c r="B96" s="195" t="s">
        <v>645</v>
      </c>
      <c r="C96" s="195" t="s">
        <v>3</v>
      </c>
      <c r="D96" s="196" t="s">
        <v>59</v>
      </c>
      <c r="E96" s="196" t="s">
        <v>59</v>
      </c>
      <c r="F96" s="197" t="s">
        <v>59</v>
      </c>
      <c r="G96" s="197" t="s">
        <v>59</v>
      </c>
      <c r="H96" s="197"/>
      <c r="I96" s="196"/>
      <c r="J96" s="181"/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AB96" s="175" t="str">
        <f t="shared" si="29"/>
        <v>Yannick Eduardo (A)</v>
      </c>
    </row>
    <row r="97" spans="1:28" ht="15" customHeight="1" thickBot="1" x14ac:dyDescent="0.25">
      <c r="A97" s="220" t="s">
        <v>177</v>
      </c>
      <c r="B97" s="220"/>
      <c r="C97" s="220"/>
      <c r="D97" s="220"/>
      <c r="E97" s="220"/>
      <c r="F97" s="220"/>
      <c r="G97" s="220"/>
      <c r="H97" s="220"/>
      <c r="I97" s="220"/>
      <c r="J97" s="10"/>
      <c r="K97" s="176">
        <v>12</v>
      </c>
      <c r="L97" s="176">
        <v>12</v>
      </c>
      <c r="M97" s="176">
        <v>12</v>
      </c>
      <c r="N97" s="176">
        <v>12</v>
      </c>
      <c r="O97" s="176">
        <v>12</v>
      </c>
      <c r="P97" s="176">
        <v>12</v>
      </c>
      <c r="Q97" s="176">
        <v>12</v>
      </c>
      <c r="R97" s="176">
        <v>12</v>
      </c>
      <c r="S97" s="176">
        <v>12</v>
      </c>
      <c r="T97" s="176">
        <v>12</v>
      </c>
      <c r="U97" s="176">
        <v>12</v>
      </c>
      <c r="V97" s="176">
        <v>12</v>
      </c>
      <c r="W97" s="176">
        <v>12</v>
      </c>
      <c r="X97" s="176">
        <v>12</v>
      </c>
      <c r="Y97" s="176">
        <v>12</v>
      </c>
      <c r="Z97" s="217"/>
      <c r="AB97" s="175" t="str">
        <f>A97</f>
        <v>1.FC Union Berlin</v>
      </c>
    </row>
    <row r="98" spans="1:28" ht="10.5" customHeight="1" x14ac:dyDescent="0.2">
      <c r="A98" s="177">
        <v>1</v>
      </c>
      <c r="B98" s="178" t="s">
        <v>568</v>
      </c>
      <c r="C98" s="178" t="s">
        <v>0</v>
      </c>
      <c r="D98" s="179" t="s">
        <v>59</v>
      </c>
      <c r="E98" s="179" t="s">
        <v>59</v>
      </c>
      <c r="F98" s="180" t="s">
        <v>59</v>
      </c>
      <c r="G98" s="180" t="s">
        <v>59</v>
      </c>
      <c r="H98" s="180"/>
      <c r="I98" s="179"/>
      <c r="J98" s="181"/>
      <c r="K98" s="182"/>
      <c r="L98" s="182"/>
      <c r="M98" s="182"/>
      <c r="N98" s="182"/>
      <c r="O98" s="182"/>
      <c r="P98" s="182"/>
      <c r="Q98" s="182"/>
      <c r="R98" s="182"/>
      <c r="S98" s="182"/>
      <c r="T98" s="182"/>
      <c r="U98" s="182"/>
      <c r="V98" s="182"/>
      <c r="W98" s="182"/>
      <c r="X98" s="182"/>
      <c r="Y98" s="182"/>
      <c r="AB98" s="175" t="str">
        <f>B98</f>
        <v>Frederik Rønnow (A)</v>
      </c>
    </row>
    <row r="99" spans="1:28" ht="10.5" customHeight="1" x14ac:dyDescent="0.2">
      <c r="A99" s="177">
        <v>12</v>
      </c>
      <c r="B99" s="178" t="s">
        <v>206</v>
      </c>
      <c r="C99" s="178" t="s">
        <v>0</v>
      </c>
      <c r="D99" s="179" t="s">
        <v>59</v>
      </c>
      <c r="E99" s="179" t="s">
        <v>59</v>
      </c>
      <c r="F99" s="180" t="s">
        <v>59</v>
      </c>
      <c r="G99" s="180" t="s">
        <v>59</v>
      </c>
      <c r="H99" s="180"/>
      <c r="I99" s="179"/>
      <c r="J99" s="181"/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82"/>
      <c r="X99" s="182"/>
      <c r="Y99" s="182"/>
      <c r="AB99" s="175" t="str">
        <f t="shared" ref="AB99:AB101" si="31">B99</f>
        <v>Jakob Busk (A)</v>
      </c>
    </row>
    <row r="100" spans="1:28" ht="10.5" customHeight="1" x14ac:dyDescent="0.2">
      <c r="A100" s="177">
        <v>37</v>
      </c>
      <c r="B100" s="178" t="s">
        <v>154</v>
      </c>
      <c r="C100" s="178" t="s">
        <v>0</v>
      </c>
      <c r="D100" s="179" t="s">
        <v>59</v>
      </c>
      <c r="E100" s="179" t="s">
        <v>59</v>
      </c>
      <c r="F100" s="180" t="s">
        <v>59</v>
      </c>
      <c r="G100" s="180" t="s">
        <v>59</v>
      </c>
      <c r="H100" s="180"/>
      <c r="I100" s="179"/>
      <c r="J100" s="181"/>
      <c r="K100" s="182"/>
      <c r="L100" s="182"/>
      <c r="M100" s="182"/>
      <c r="N100" s="182"/>
      <c r="O100" s="182"/>
      <c r="P100" s="182"/>
      <c r="Q100" s="182"/>
      <c r="R100" s="182"/>
      <c r="S100" s="182"/>
      <c r="T100" s="182"/>
      <c r="U100" s="182"/>
      <c r="V100" s="182"/>
      <c r="W100" s="182"/>
      <c r="X100" s="182"/>
      <c r="Y100" s="182"/>
      <c r="AB100" s="175" t="str">
        <f t="shared" ref="AB100" si="32">B100</f>
        <v>Alexander Schwolow</v>
      </c>
    </row>
    <row r="101" spans="1:28" ht="10.5" customHeight="1" x14ac:dyDescent="0.2">
      <c r="A101" s="177">
        <v>39</v>
      </c>
      <c r="B101" s="178" t="s">
        <v>417</v>
      </c>
      <c r="C101" s="178" t="s">
        <v>0</v>
      </c>
      <c r="D101" s="179" t="s">
        <v>59</v>
      </c>
      <c r="E101" s="179" t="s">
        <v>59</v>
      </c>
      <c r="F101" s="180" t="s">
        <v>59</v>
      </c>
      <c r="G101" s="180" t="s">
        <v>59</v>
      </c>
      <c r="H101" s="180"/>
      <c r="I101" s="179"/>
      <c r="J101" s="181"/>
      <c r="K101" s="182"/>
      <c r="L101" s="182"/>
      <c r="M101" s="182"/>
      <c r="N101" s="182"/>
      <c r="O101" s="182"/>
      <c r="P101" s="182"/>
      <c r="Q101" s="182"/>
      <c r="R101" s="182"/>
      <c r="S101" s="182"/>
      <c r="T101" s="182"/>
      <c r="U101" s="182"/>
      <c r="V101" s="182"/>
      <c r="W101" s="182"/>
      <c r="X101" s="182"/>
      <c r="Y101" s="182"/>
      <c r="AB101" s="175" t="str">
        <f t="shared" si="31"/>
        <v>Yannic Stein</v>
      </c>
    </row>
    <row r="102" spans="1:28" ht="10.5" customHeight="1" x14ac:dyDescent="0.2">
      <c r="A102" s="198">
        <v>2</v>
      </c>
      <c r="B102" s="199" t="s">
        <v>112</v>
      </c>
      <c r="C102" s="185" t="s">
        <v>1</v>
      </c>
      <c r="D102" s="186" t="s">
        <v>59</v>
      </c>
      <c r="E102" s="186" t="s">
        <v>59</v>
      </c>
      <c r="F102" s="187" t="s">
        <v>59</v>
      </c>
      <c r="G102" s="187" t="s">
        <v>59</v>
      </c>
      <c r="H102" s="187"/>
      <c r="I102" s="186"/>
      <c r="J102" s="181"/>
      <c r="K102" s="182"/>
      <c r="L102" s="182"/>
      <c r="M102" s="182"/>
      <c r="N102" s="182"/>
      <c r="O102" s="182"/>
      <c r="P102" s="182"/>
      <c r="Q102" s="182"/>
      <c r="R102" s="182"/>
      <c r="S102" s="182"/>
      <c r="T102" s="182"/>
      <c r="U102" s="182"/>
      <c r="V102" s="182"/>
      <c r="W102" s="182"/>
      <c r="X102" s="182"/>
      <c r="Y102" s="182"/>
      <c r="AB102" s="175" t="str">
        <f t="shared" ref="AB102" si="33">B102</f>
        <v>Kevin Vogt</v>
      </c>
    </row>
    <row r="103" spans="1:28" ht="10.5" customHeight="1" x14ac:dyDescent="0.2">
      <c r="A103" s="198">
        <v>3</v>
      </c>
      <c r="B103" s="199" t="s">
        <v>273</v>
      </c>
      <c r="C103" s="185" t="s">
        <v>1</v>
      </c>
      <c r="D103" s="186" t="s">
        <v>59</v>
      </c>
      <c r="E103" s="186" t="s">
        <v>59</v>
      </c>
      <c r="F103" s="187" t="s">
        <v>59</v>
      </c>
      <c r="G103" s="187" t="s">
        <v>59</v>
      </c>
      <c r="H103" s="187"/>
      <c r="I103" s="186"/>
      <c r="J103" s="181"/>
      <c r="K103" s="182"/>
      <c r="L103" s="182"/>
      <c r="M103" s="182"/>
      <c r="N103" s="182"/>
      <c r="O103" s="182"/>
      <c r="P103" s="182"/>
      <c r="Q103" s="182"/>
      <c r="R103" s="182"/>
      <c r="S103" s="182"/>
      <c r="T103" s="182"/>
      <c r="U103" s="182"/>
      <c r="V103" s="182"/>
      <c r="W103" s="182"/>
      <c r="X103" s="182"/>
      <c r="Y103" s="182"/>
      <c r="AB103" s="175" t="str">
        <f t="shared" ref="AB103:AB107" si="34">B103</f>
        <v>Paul Jaeckel</v>
      </c>
    </row>
    <row r="104" spans="1:28" ht="10.5" customHeight="1" x14ac:dyDescent="0.2">
      <c r="A104" s="198">
        <v>4</v>
      </c>
      <c r="B104" s="199" t="s">
        <v>333</v>
      </c>
      <c r="C104" s="185" t="s">
        <v>1</v>
      </c>
      <c r="D104" s="186" t="s">
        <v>59</v>
      </c>
      <c r="E104" s="186" t="s">
        <v>59</v>
      </c>
      <c r="F104" s="187" t="s">
        <v>59</v>
      </c>
      <c r="G104" s="187" t="s">
        <v>59</v>
      </c>
      <c r="H104" s="187"/>
      <c r="I104" s="186"/>
      <c r="J104" s="181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  <c r="AB104" s="175" t="str">
        <f t="shared" si="34"/>
        <v>Diogo Leite (A)</v>
      </c>
    </row>
    <row r="105" spans="1:28" ht="10.5" customHeight="1" x14ac:dyDescent="0.2">
      <c r="A105" s="198">
        <v>5</v>
      </c>
      <c r="B105" s="199" t="s">
        <v>332</v>
      </c>
      <c r="C105" s="185" t="s">
        <v>1</v>
      </c>
      <c r="D105" s="186" t="s">
        <v>59</v>
      </c>
      <c r="E105" s="186" t="s">
        <v>59</v>
      </c>
      <c r="F105" s="187" t="s">
        <v>59</v>
      </c>
      <c r="G105" s="187" t="s">
        <v>59</v>
      </c>
      <c r="H105" s="187"/>
      <c r="I105" s="186"/>
      <c r="J105" s="181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  <c r="AB105" s="175" t="str">
        <f t="shared" si="34"/>
        <v>Danilho Doekhi (A)</v>
      </c>
    </row>
    <row r="106" spans="1:28" ht="10.5" customHeight="1" x14ac:dyDescent="0.2">
      <c r="A106" s="198">
        <v>6</v>
      </c>
      <c r="B106" s="199" t="s">
        <v>554</v>
      </c>
      <c r="C106" s="185" t="s">
        <v>1</v>
      </c>
      <c r="D106" s="186" t="s">
        <v>59</v>
      </c>
      <c r="E106" s="186" t="s">
        <v>59</v>
      </c>
      <c r="F106" s="187" t="s">
        <v>59</v>
      </c>
      <c r="G106" s="187" t="s">
        <v>59</v>
      </c>
      <c r="H106" s="187"/>
      <c r="I106" s="186"/>
      <c r="J106" s="181"/>
      <c r="K106" s="182"/>
      <c r="L106" s="182"/>
      <c r="M106" s="182"/>
      <c r="N106" s="182"/>
      <c r="O106" s="182"/>
      <c r="P106" s="182"/>
      <c r="Q106" s="182"/>
      <c r="R106" s="182"/>
      <c r="S106" s="182">
        <v>2</v>
      </c>
      <c r="T106" s="182"/>
      <c r="U106" s="182"/>
      <c r="V106" s="182"/>
      <c r="W106" s="182"/>
      <c r="X106" s="182"/>
      <c r="Y106" s="182"/>
      <c r="AB106" s="175" t="str">
        <f t="shared" si="34"/>
        <v>Robin Gosens</v>
      </c>
    </row>
    <row r="107" spans="1:28" ht="10.5" customHeight="1" x14ac:dyDescent="0.2">
      <c r="A107" s="198">
        <v>18</v>
      </c>
      <c r="B107" s="199" t="s">
        <v>398</v>
      </c>
      <c r="C107" s="185" t="s">
        <v>1</v>
      </c>
      <c r="D107" s="186" t="s">
        <v>59</v>
      </c>
      <c r="E107" s="186" t="s">
        <v>59</v>
      </c>
      <c r="F107" s="187" t="s">
        <v>59</v>
      </c>
      <c r="G107" s="187" t="s">
        <v>59</v>
      </c>
      <c r="H107" s="187"/>
      <c r="I107" s="186"/>
      <c r="J107" s="181"/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82"/>
      <c r="V107" s="182"/>
      <c r="W107" s="182"/>
      <c r="X107" s="182"/>
      <c r="Y107" s="182"/>
      <c r="AB107" s="175" t="str">
        <f t="shared" si="34"/>
        <v>Josip Juranovic (A)</v>
      </c>
    </row>
    <row r="108" spans="1:28" ht="10.5" customHeight="1" x14ac:dyDescent="0.2">
      <c r="A108" s="198">
        <v>26</v>
      </c>
      <c r="B108" s="199" t="s">
        <v>173</v>
      </c>
      <c r="C108" s="185" t="s">
        <v>1</v>
      </c>
      <c r="D108" s="186" t="s">
        <v>59</v>
      </c>
      <c r="E108" s="186" t="s">
        <v>59</v>
      </c>
      <c r="F108" s="187" t="s">
        <v>59</v>
      </c>
      <c r="G108" s="187" t="s">
        <v>59</v>
      </c>
      <c r="H108" s="187"/>
      <c r="I108" s="186"/>
      <c r="J108" s="181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2"/>
      <c r="X108" s="182"/>
      <c r="Y108" s="182"/>
      <c r="AB108" s="175" t="str">
        <f t="shared" ref="AB108:AB110" si="35">B108</f>
        <v>Jerome Roussillon (A)</v>
      </c>
    </row>
    <row r="109" spans="1:28" ht="10.5" customHeight="1" x14ac:dyDescent="0.2">
      <c r="A109" s="198">
        <v>28</v>
      </c>
      <c r="B109" s="199" t="s">
        <v>209</v>
      </c>
      <c r="C109" s="185" t="s">
        <v>1</v>
      </c>
      <c r="D109" s="186" t="s">
        <v>59</v>
      </c>
      <c r="E109" s="186" t="s">
        <v>59</v>
      </c>
      <c r="F109" s="187" t="s">
        <v>59</v>
      </c>
      <c r="G109" s="187" t="s">
        <v>59</v>
      </c>
      <c r="H109" s="187"/>
      <c r="I109" s="186"/>
      <c r="J109" s="181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  <c r="X109" s="182"/>
      <c r="Y109" s="182"/>
      <c r="AB109" s="175" t="str">
        <f t="shared" si="35"/>
        <v>Christopher Trimmel (A)</v>
      </c>
    </row>
    <row r="110" spans="1:28" ht="10.5" customHeight="1" x14ac:dyDescent="0.2">
      <c r="A110" s="198">
        <v>31</v>
      </c>
      <c r="B110" s="199" t="s">
        <v>99</v>
      </c>
      <c r="C110" s="185" t="s">
        <v>1</v>
      </c>
      <c r="D110" s="186" t="s">
        <v>59</v>
      </c>
      <c r="E110" s="186" t="s">
        <v>59</v>
      </c>
      <c r="F110" s="187" t="s">
        <v>59</v>
      </c>
      <c r="G110" s="187" t="s">
        <v>59</v>
      </c>
      <c r="H110" s="187"/>
      <c r="I110" s="186"/>
      <c r="J110" s="181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  <c r="AB110" s="175" t="str">
        <f t="shared" si="35"/>
        <v>Robin Knoche</v>
      </c>
    </row>
    <row r="111" spans="1:28" ht="10.5" customHeight="1" x14ac:dyDescent="0.2">
      <c r="A111" s="198">
        <v>41</v>
      </c>
      <c r="B111" s="199" t="s">
        <v>627</v>
      </c>
      <c r="C111" s="185" t="s">
        <v>1</v>
      </c>
      <c r="D111" s="186" t="s">
        <v>59</v>
      </c>
      <c r="E111" s="186" t="s">
        <v>59</v>
      </c>
      <c r="F111" s="187" t="s">
        <v>59</v>
      </c>
      <c r="G111" s="187" t="s">
        <v>59</v>
      </c>
      <c r="H111" s="187"/>
      <c r="I111" s="186"/>
      <c r="J111" s="181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  <c r="AB111" s="175" t="str">
        <f t="shared" ref="AB111" si="36">B111</f>
        <v>Oluwaseun Ogdemudia</v>
      </c>
    </row>
    <row r="112" spans="1:28" ht="10.5" customHeight="1" x14ac:dyDescent="0.2">
      <c r="A112" s="200">
        <v>7</v>
      </c>
      <c r="B112" s="190" t="s">
        <v>418</v>
      </c>
      <c r="C112" s="190" t="s">
        <v>2</v>
      </c>
      <c r="D112" s="205" t="s">
        <v>59</v>
      </c>
      <c r="E112" s="205" t="s">
        <v>59</v>
      </c>
      <c r="F112" s="206" t="s">
        <v>59</v>
      </c>
      <c r="G112" s="206" t="s">
        <v>59</v>
      </c>
      <c r="H112" s="206"/>
      <c r="I112" s="205"/>
      <c r="J112" s="207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  <c r="AB112" s="175" t="str">
        <f t="shared" ref="AB112" si="37">B112</f>
        <v>Brendon Aaronson (A)</v>
      </c>
    </row>
    <row r="113" spans="1:28" ht="10.5" customHeight="1" x14ac:dyDescent="0.2">
      <c r="A113" s="200">
        <v>8</v>
      </c>
      <c r="B113" s="190" t="s">
        <v>140</v>
      </c>
      <c r="C113" s="190" t="s">
        <v>2</v>
      </c>
      <c r="D113" s="205" t="s">
        <v>59</v>
      </c>
      <c r="E113" s="205" t="s">
        <v>59</v>
      </c>
      <c r="F113" s="206" t="s">
        <v>59</v>
      </c>
      <c r="G113" s="206" t="s">
        <v>59</v>
      </c>
      <c r="H113" s="206"/>
      <c r="I113" s="205"/>
      <c r="J113" s="207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  <c r="AB113" s="175" t="str">
        <f t="shared" ref="AB113:AB117" si="38">B113</f>
        <v>Rani Khedira</v>
      </c>
    </row>
    <row r="114" spans="1:28" ht="10.5" customHeight="1" x14ac:dyDescent="0.2">
      <c r="A114" s="200">
        <v>13</v>
      </c>
      <c r="B114" s="190" t="s">
        <v>569</v>
      </c>
      <c r="C114" s="190" t="s">
        <v>2</v>
      </c>
      <c r="D114" s="205" t="s">
        <v>59</v>
      </c>
      <c r="E114" s="205" t="s">
        <v>59</v>
      </c>
      <c r="F114" s="206" t="s">
        <v>59</v>
      </c>
      <c r="G114" s="206" t="s">
        <v>59</v>
      </c>
      <c r="H114" s="206"/>
      <c r="I114" s="205"/>
      <c r="J114" s="207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2"/>
      <c r="AB114" s="175" t="str">
        <f t="shared" si="38"/>
        <v>András Schäfer (A)</v>
      </c>
    </row>
    <row r="115" spans="1:28" ht="10.5" customHeight="1" x14ac:dyDescent="0.2">
      <c r="A115" s="200">
        <v>19</v>
      </c>
      <c r="B115" s="190" t="s">
        <v>142</v>
      </c>
      <c r="C115" s="190" t="s">
        <v>2</v>
      </c>
      <c r="D115" s="205" t="s">
        <v>59</v>
      </c>
      <c r="E115" s="205" t="s">
        <v>59</v>
      </c>
      <c r="F115" s="206" t="s">
        <v>59</v>
      </c>
      <c r="G115" s="206" t="s">
        <v>59</v>
      </c>
      <c r="H115" s="206"/>
      <c r="I115" s="205"/>
      <c r="J115" s="207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  <c r="AB115" s="175" t="str">
        <f t="shared" si="38"/>
        <v>Janik Haberer</v>
      </c>
    </row>
    <row r="116" spans="1:28" ht="10.5" customHeight="1" x14ac:dyDescent="0.2">
      <c r="A116" s="200">
        <v>20</v>
      </c>
      <c r="B116" s="190" t="s">
        <v>391</v>
      </c>
      <c r="C116" s="190" t="s">
        <v>2</v>
      </c>
      <c r="D116" s="205" t="s">
        <v>59</v>
      </c>
      <c r="E116" s="205" t="s">
        <v>59</v>
      </c>
      <c r="F116" s="206" t="s">
        <v>59</v>
      </c>
      <c r="G116" s="206" t="s">
        <v>59</v>
      </c>
      <c r="H116" s="206"/>
      <c r="I116" s="205"/>
      <c r="J116" s="207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W116" s="182"/>
      <c r="X116" s="182"/>
      <c r="Y116" s="182"/>
      <c r="AB116" s="175" t="str">
        <f t="shared" si="38"/>
        <v>Aissa Laidouni (A)</v>
      </c>
    </row>
    <row r="117" spans="1:28" ht="10.5" customHeight="1" x14ac:dyDescent="0.2">
      <c r="A117" s="200">
        <v>29</v>
      </c>
      <c r="B117" s="190" t="s">
        <v>234</v>
      </c>
      <c r="C117" s="190" t="s">
        <v>2</v>
      </c>
      <c r="D117" s="205" t="s">
        <v>59</v>
      </c>
      <c r="E117" s="205" t="s">
        <v>59</v>
      </c>
      <c r="F117" s="206" t="s">
        <v>59</v>
      </c>
      <c r="G117" s="206" t="s">
        <v>59</v>
      </c>
      <c r="H117" s="206"/>
      <c r="I117" s="205"/>
      <c r="J117" s="207"/>
      <c r="K117" s="182"/>
      <c r="L117" s="182"/>
      <c r="M117" s="182"/>
      <c r="N117" s="182"/>
      <c r="O117" s="182"/>
      <c r="P117" s="182"/>
      <c r="Q117" s="182"/>
      <c r="R117" s="182"/>
      <c r="S117" s="182"/>
      <c r="T117" s="182"/>
      <c r="U117" s="182"/>
      <c r="V117" s="182"/>
      <c r="W117" s="182"/>
      <c r="X117" s="182"/>
      <c r="Y117" s="182"/>
      <c r="AB117" s="175" t="str">
        <f t="shared" si="38"/>
        <v>Lucas Tousart (A)</v>
      </c>
    </row>
    <row r="118" spans="1:28" ht="10.5" customHeight="1" x14ac:dyDescent="0.2">
      <c r="A118" s="200">
        <v>33</v>
      </c>
      <c r="B118" s="190" t="s">
        <v>570</v>
      </c>
      <c r="C118" s="190" t="s">
        <v>2</v>
      </c>
      <c r="D118" s="205" t="s">
        <v>59</v>
      </c>
      <c r="E118" s="205" t="s">
        <v>59</v>
      </c>
      <c r="F118" s="206" t="s">
        <v>59</v>
      </c>
      <c r="G118" s="206" t="s">
        <v>59</v>
      </c>
      <c r="H118" s="206"/>
      <c r="I118" s="205"/>
      <c r="J118" s="207"/>
      <c r="K118" s="182"/>
      <c r="L118" s="182"/>
      <c r="M118" s="182"/>
      <c r="N118" s="182"/>
      <c r="O118" s="182"/>
      <c r="P118" s="182"/>
      <c r="Q118" s="182"/>
      <c r="R118" s="182"/>
      <c r="S118" s="182"/>
      <c r="T118" s="182"/>
      <c r="U118" s="182"/>
      <c r="V118" s="182"/>
      <c r="W118" s="182"/>
      <c r="X118" s="182"/>
      <c r="Y118" s="182"/>
      <c r="AB118" s="175" t="str">
        <f t="shared" ref="AB118" si="39">B118</f>
        <v>Alex Král (A)</v>
      </c>
    </row>
    <row r="119" spans="1:28" ht="10.5" customHeight="1" x14ac:dyDescent="0.2">
      <c r="A119" s="201">
        <v>9</v>
      </c>
      <c r="B119" s="195" t="s">
        <v>419</v>
      </c>
      <c r="C119" s="195" t="s">
        <v>3</v>
      </c>
      <c r="D119" s="196" t="s">
        <v>59</v>
      </c>
      <c r="E119" s="196" t="s">
        <v>59</v>
      </c>
      <c r="F119" s="196" t="s">
        <v>59</v>
      </c>
      <c r="G119" s="196" t="s">
        <v>59</v>
      </c>
      <c r="H119" s="197"/>
      <c r="I119" s="196"/>
      <c r="J119" s="181"/>
      <c r="K119" s="182"/>
      <c r="L119" s="182"/>
      <c r="M119" s="182"/>
      <c r="N119" s="182"/>
      <c r="O119" s="182"/>
      <c r="P119" s="182"/>
      <c r="Q119" s="182"/>
      <c r="R119" s="182"/>
      <c r="S119" s="182"/>
      <c r="T119" s="182"/>
      <c r="U119" s="182"/>
      <c r="V119" s="182"/>
      <c r="W119" s="182"/>
      <c r="X119" s="182"/>
      <c r="Y119" s="182"/>
      <c r="AB119" s="175" t="str">
        <f t="shared" ref="AB119:AB120" si="40">B119</f>
        <v>Mikkel Kaufmann (A)</v>
      </c>
    </row>
    <row r="120" spans="1:28" ht="10.5" customHeight="1" x14ac:dyDescent="0.2">
      <c r="A120" s="201">
        <v>10</v>
      </c>
      <c r="B120" s="195" t="s">
        <v>556</v>
      </c>
      <c r="C120" s="195" t="s">
        <v>3</v>
      </c>
      <c r="D120" s="196" t="s">
        <v>59</v>
      </c>
      <c r="E120" s="196" t="s">
        <v>59</v>
      </c>
      <c r="F120" s="196" t="s">
        <v>59</v>
      </c>
      <c r="G120" s="196" t="s">
        <v>59</v>
      </c>
      <c r="H120" s="197"/>
      <c r="I120" s="196"/>
      <c r="J120" s="181"/>
      <c r="K120" s="182"/>
      <c r="L120" s="182"/>
      <c r="M120" s="182"/>
      <c r="N120" s="182"/>
      <c r="O120" s="182"/>
      <c r="P120" s="182"/>
      <c r="Q120" s="182"/>
      <c r="R120" s="182"/>
      <c r="S120" s="182"/>
      <c r="T120" s="182"/>
      <c r="U120" s="182"/>
      <c r="V120" s="182"/>
      <c r="W120" s="182"/>
      <c r="X120" s="182"/>
      <c r="Y120" s="182"/>
      <c r="AB120" s="175" t="str">
        <f t="shared" si="40"/>
        <v>Kevin Volland</v>
      </c>
    </row>
    <row r="121" spans="1:28" ht="10.5" customHeight="1" x14ac:dyDescent="0.2">
      <c r="A121" s="201">
        <v>11</v>
      </c>
      <c r="B121" s="195" t="s">
        <v>653</v>
      </c>
      <c r="C121" s="195" t="s">
        <v>3</v>
      </c>
      <c r="D121" s="196" t="s">
        <v>59</v>
      </c>
      <c r="E121" s="196" t="s">
        <v>59</v>
      </c>
      <c r="F121" s="196" t="s">
        <v>59</v>
      </c>
      <c r="G121" s="196" t="s">
        <v>59</v>
      </c>
      <c r="H121" s="197"/>
      <c r="I121" s="196"/>
      <c r="J121" s="181"/>
      <c r="K121" s="182"/>
      <c r="L121" s="182"/>
      <c r="M121" s="182"/>
      <c r="N121" s="182"/>
      <c r="O121" s="182"/>
      <c r="P121" s="182"/>
      <c r="Q121" s="182"/>
      <c r="R121" s="182"/>
      <c r="S121" s="182"/>
      <c r="T121" s="182"/>
      <c r="U121" s="182"/>
      <c r="V121" s="182"/>
      <c r="W121" s="182"/>
      <c r="X121" s="182"/>
      <c r="Y121" s="182"/>
      <c r="AB121" s="175" t="str">
        <f t="shared" ref="AB121" si="41">B121</f>
        <v>Chris Bedia (A)</v>
      </c>
    </row>
    <row r="122" spans="1:28" ht="10.5" customHeight="1" x14ac:dyDescent="0.2">
      <c r="A122" s="201">
        <v>14</v>
      </c>
      <c r="B122" s="195" t="s">
        <v>666</v>
      </c>
      <c r="C122" s="195" t="s">
        <v>3</v>
      </c>
      <c r="D122" s="196" t="s">
        <v>59</v>
      </c>
      <c r="E122" s="196" t="s">
        <v>59</v>
      </c>
      <c r="F122" s="196" t="s">
        <v>59</v>
      </c>
      <c r="G122" s="196" t="s">
        <v>59</v>
      </c>
      <c r="H122" s="197"/>
      <c r="I122" s="196"/>
      <c r="J122" s="181"/>
      <c r="K122" s="182"/>
      <c r="L122" s="182"/>
      <c r="M122" s="182"/>
      <c r="N122" s="182"/>
      <c r="O122" s="182"/>
      <c r="P122" s="182"/>
      <c r="Q122" s="182"/>
      <c r="R122" s="182"/>
      <c r="S122" s="182"/>
      <c r="T122" s="182"/>
      <c r="U122" s="182"/>
      <c r="V122" s="182"/>
      <c r="W122" s="182"/>
      <c r="X122" s="182"/>
      <c r="Y122" s="182"/>
      <c r="AB122" s="175" t="str">
        <f t="shared" ref="AB122:AB123" si="42">B122</f>
        <v>Yorbe Vertessen (A)</v>
      </c>
    </row>
    <row r="123" spans="1:28" ht="10.5" customHeight="1" x14ac:dyDescent="0.2">
      <c r="A123" s="201">
        <v>16</v>
      </c>
      <c r="B123" s="195" t="s">
        <v>420</v>
      </c>
      <c r="C123" s="195" t="s">
        <v>3</v>
      </c>
      <c r="D123" s="196" t="s">
        <v>59</v>
      </c>
      <c r="E123" s="196" t="s">
        <v>59</v>
      </c>
      <c r="F123" s="196" t="s">
        <v>59</v>
      </c>
      <c r="G123" s="196" t="s">
        <v>59</v>
      </c>
      <c r="H123" s="197"/>
      <c r="I123" s="196"/>
      <c r="J123" s="181"/>
      <c r="K123" s="182"/>
      <c r="L123" s="182"/>
      <c r="M123" s="182"/>
      <c r="N123" s="182"/>
      <c r="O123" s="182"/>
      <c r="P123" s="182"/>
      <c r="Q123" s="182"/>
      <c r="R123" s="182"/>
      <c r="S123" s="182"/>
      <c r="T123" s="182"/>
      <c r="U123" s="182"/>
      <c r="V123" s="182"/>
      <c r="W123" s="182"/>
      <c r="X123" s="182"/>
      <c r="Y123" s="182"/>
      <c r="AB123" s="175" t="str">
        <f t="shared" si="42"/>
        <v>Benedict Hollerbach</v>
      </c>
    </row>
    <row r="124" spans="1:28" ht="15" customHeight="1" thickBot="1" x14ac:dyDescent="0.25">
      <c r="A124" s="220" t="s">
        <v>129</v>
      </c>
      <c r="B124" s="220"/>
      <c r="C124" s="220"/>
      <c r="D124" s="220"/>
      <c r="E124" s="220"/>
      <c r="F124" s="220"/>
      <c r="G124" s="220"/>
      <c r="H124" s="220"/>
      <c r="I124" s="220"/>
      <c r="J124" s="10"/>
      <c r="K124" s="176">
        <v>12</v>
      </c>
      <c r="L124" s="176">
        <v>12</v>
      </c>
      <c r="M124" s="176">
        <v>12</v>
      </c>
      <c r="N124" s="176">
        <v>12</v>
      </c>
      <c r="O124" s="176">
        <v>12</v>
      </c>
      <c r="P124" s="176">
        <v>12</v>
      </c>
      <c r="Q124" s="176">
        <v>12</v>
      </c>
      <c r="R124" s="176">
        <v>12</v>
      </c>
      <c r="S124" s="176">
        <v>12</v>
      </c>
      <c r="T124" s="176">
        <v>12</v>
      </c>
      <c r="U124" s="176">
        <v>12</v>
      </c>
      <c r="V124" s="176">
        <v>12</v>
      </c>
      <c r="W124" s="176">
        <v>12</v>
      </c>
      <c r="X124" s="176">
        <v>12</v>
      </c>
      <c r="Y124" s="176">
        <v>12</v>
      </c>
      <c r="Z124" s="217"/>
      <c r="AB124" s="175" t="str">
        <f>A124</f>
        <v>SC Freiburg</v>
      </c>
    </row>
    <row r="125" spans="1:28" ht="10.5" customHeight="1" x14ac:dyDescent="0.2">
      <c r="A125" s="177">
        <v>1</v>
      </c>
      <c r="B125" s="178" t="s">
        <v>278</v>
      </c>
      <c r="C125" s="178" t="s">
        <v>0</v>
      </c>
      <c r="D125" s="179" t="s">
        <v>59</v>
      </c>
      <c r="E125" s="179" t="s">
        <v>59</v>
      </c>
      <c r="F125" s="180" t="s">
        <v>59</v>
      </c>
      <c r="G125" s="180" t="s">
        <v>59</v>
      </c>
      <c r="H125" s="180"/>
      <c r="I125" s="179"/>
      <c r="J125" s="181"/>
      <c r="K125" s="182">
        <v>1</v>
      </c>
      <c r="L125" s="182"/>
      <c r="M125" s="182"/>
      <c r="N125" s="182"/>
      <c r="O125" s="182"/>
      <c r="P125" s="182"/>
      <c r="Q125" s="182"/>
      <c r="R125" s="182"/>
      <c r="S125" s="182"/>
      <c r="T125" s="182"/>
      <c r="U125" s="182"/>
      <c r="V125" s="182"/>
      <c r="W125" s="182"/>
      <c r="X125" s="182"/>
      <c r="Y125" s="182"/>
      <c r="AB125" s="175" t="str">
        <f t="shared" ref="AB125:AB153" si="43">B125</f>
        <v>Noah Atubolu</v>
      </c>
    </row>
    <row r="126" spans="1:28" ht="10.5" customHeight="1" x14ac:dyDescent="0.2">
      <c r="A126" s="177">
        <v>21</v>
      </c>
      <c r="B126" s="178" t="s">
        <v>153</v>
      </c>
      <c r="C126" s="178" t="s">
        <v>0</v>
      </c>
      <c r="D126" s="179" t="s">
        <v>59</v>
      </c>
      <c r="E126" s="179" t="s">
        <v>59</v>
      </c>
      <c r="F126" s="180" t="s">
        <v>59</v>
      </c>
      <c r="G126" s="180" t="s">
        <v>59</v>
      </c>
      <c r="H126" s="180"/>
      <c r="I126" s="179"/>
      <c r="J126" s="181"/>
      <c r="K126" s="182"/>
      <c r="L126" s="182"/>
      <c r="M126" s="182"/>
      <c r="N126" s="182"/>
      <c r="O126" s="182"/>
      <c r="P126" s="182"/>
      <c r="Q126" s="182"/>
      <c r="R126" s="182"/>
      <c r="S126" s="182"/>
      <c r="T126" s="182"/>
      <c r="U126" s="182"/>
      <c r="V126" s="182"/>
      <c r="W126" s="182"/>
      <c r="X126" s="182"/>
      <c r="Y126" s="182"/>
      <c r="AB126" s="175" t="str">
        <f t="shared" ref="AB126:AB129" si="44">B126</f>
        <v>Florian Müller</v>
      </c>
    </row>
    <row r="127" spans="1:28" ht="10.5" customHeight="1" x14ac:dyDescent="0.2">
      <c r="A127" s="177">
        <v>31</v>
      </c>
      <c r="B127" s="178" t="s">
        <v>232</v>
      </c>
      <c r="C127" s="178" t="s">
        <v>0</v>
      </c>
      <c r="D127" s="179" t="s">
        <v>59</v>
      </c>
      <c r="E127" s="179" t="s">
        <v>59</v>
      </c>
      <c r="F127" s="180" t="s">
        <v>59</v>
      </c>
      <c r="G127" s="180" t="s">
        <v>59</v>
      </c>
      <c r="H127" s="180"/>
      <c r="I127" s="179"/>
      <c r="J127" s="181"/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2"/>
      <c r="V127" s="182"/>
      <c r="W127" s="182"/>
      <c r="X127" s="182"/>
      <c r="Y127" s="182"/>
      <c r="AB127" s="175" t="str">
        <f t="shared" si="44"/>
        <v>Benjamin Uphoff</v>
      </c>
    </row>
    <row r="128" spans="1:28" ht="10.5" customHeight="1" x14ac:dyDescent="0.2">
      <c r="A128" s="177">
        <v>58</v>
      </c>
      <c r="B128" s="178" t="s">
        <v>628</v>
      </c>
      <c r="C128" s="178" t="s">
        <v>0</v>
      </c>
      <c r="D128" s="179" t="s">
        <v>59</v>
      </c>
      <c r="E128" s="179" t="s">
        <v>59</v>
      </c>
      <c r="F128" s="180" t="s">
        <v>59</v>
      </c>
      <c r="G128" s="180" t="s">
        <v>59</v>
      </c>
      <c r="H128" s="180"/>
      <c r="I128" s="179"/>
      <c r="J128" s="181"/>
      <c r="K128" s="182"/>
      <c r="L128" s="182"/>
      <c r="M128" s="182"/>
      <c r="N128" s="182"/>
      <c r="O128" s="182"/>
      <c r="P128" s="182"/>
      <c r="Q128" s="182"/>
      <c r="R128" s="182"/>
      <c r="S128" s="182"/>
      <c r="T128" s="182"/>
      <c r="U128" s="182"/>
      <c r="V128" s="182"/>
      <c r="W128" s="182"/>
      <c r="X128" s="182"/>
      <c r="Y128" s="182"/>
      <c r="AB128" s="175" t="str">
        <f t="shared" ref="AB128" si="45">B128</f>
        <v>Niklas Sauter</v>
      </c>
    </row>
    <row r="129" spans="1:28" ht="10.5" customHeight="1" x14ac:dyDescent="0.2">
      <c r="A129" s="177">
        <v>67</v>
      </c>
      <c r="B129" s="178" t="s">
        <v>629</v>
      </c>
      <c r="C129" s="178" t="s">
        <v>0</v>
      </c>
      <c r="D129" s="179" t="s">
        <v>59</v>
      </c>
      <c r="E129" s="179" t="s">
        <v>59</v>
      </c>
      <c r="F129" s="180" t="s">
        <v>59</v>
      </c>
      <c r="G129" s="180" t="s">
        <v>59</v>
      </c>
      <c r="H129" s="180"/>
      <c r="I129" s="179"/>
      <c r="J129" s="181"/>
      <c r="K129" s="182"/>
      <c r="L129" s="182"/>
      <c r="M129" s="182"/>
      <c r="N129" s="182"/>
      <c r="O129" s="182"/>
      <c r="P129" s="182"/>
      <c r="Q129" s="182"/>
      <c r="R129" s="182"/>
      <c r="S129" s="182"/>
      <c r="T129" s="182"/>
      <c r="U129" s="182"/>
      <c r="V129" s="182"/>
      <c r="W129" s="182"/>
      <c r="X129" s="182"/>
      <c r="Y129" s="182"/>
      <c r="AB129" s="175" t="str">
        <f t="shared" si="44"/>
        <v>Jaaso Jantunen (A)</v>
      </c>
    </row>
    <row r="130" spans="1:28" ht="10.5" customHeight="1" x14ac:dyDescent="0.2">
      <c r="A130" s="204">
        <v>3</v>
      </c>
      <c r="B130" s="185" t="s">
        <v>161</v>
      </c>
      <c r="C130" s="185" t="s">
        <v>1</v>
      </c>
      <c r="D130" s="186" t="s">
        <v>59</v>
      </c>
      <c r="E130" s="186" t="s">
        <v>59</v>
      </c>
      <c r="F130" s="187" t="s">
        <v>59</v>
      </c>
      <c r="G130" s="187" t="s">
        <v>59</v>
      </c>
      <c r="H130" s="187"/>
      <c r="I130" s="186"/>
      <c r="J130" s="181"/>
      <c r="K130" s="182"/>
      <c r="L130" s="182"/>
      <c r="M130" s="182"/>
      <c r="N130" s="182"/>
      <c r="O130" s="182"/>
      <c r="P130" s="182"/>
      <c r="Q130" s="182"/>
      <c r="R130" s="182"/>
      <c r="S130" s="182"/>
      <c r="T130" s="182"/>
      <c r="U130" s="182"/>
      <c r="V130" s="182"/>
      <c r="W130" s="182"/>
      <c r="X130" s="182"/>
      <c r="Y130" s="182"/>
      <c r="AB130" s="175" t="str">
        <f>B130</f>
        <v>Philipp Lienhart (A)</v>
      </c>
    </row>
    <row r="131" spans="1:28" ht="10.5" customHeight="1" x14ac:dyDescent="0.2">
      <c r="A131" s="204">
        <v>4</v>
      </c>
      <c r="B131" s="185" t="s">
        <v>385</v>
      </c>
      <c r="C131" s="185" t="s">
        <v>1</v>
      </c>
      <c r="D131" s="186" t="s">
        <v>59</v>
      </c>
      <c r="E131" s="186" t="s">
        <v>59</v>
      </c>
      <c r="F131" s="187" t="s">
        <v>59</v>
      </c>
      <c r="G131" s="187" t="s">
        <v>59</v>
      </c>
      <c r="H131" s="187"/>
      <c r="I131" s="186"/>
      <c r="J131" s="181"/>
      <c r="K131" s="182"/>
      <c r="L131" s="182"/>
      <c r="M131" s="182"/>
      <c r="N131" s="182"/>
      <c r="O131" s="182"/>
      <c r="P131" s="182"/>
      <c r="Q131" s="182"/>
      <c r="R131" s="182"/>
      <c r="S131" s="182"/>
      <c r="T131" s="182"/>
      <c r="U131" s="182"/>
      <c r="V131" s="182"/>
      <c r="W131" s="182"/>
      <c r="X131" s="182"/>
      <c r="Y131" s="182"/>
      <c r="AB131" s="175" t="str">
        <f t="shared" ref="AB131:AB136" si="46">B131</f>
        <v>Kenneth Schmidt</v>
      </c>
    </row>
    <row r="132" spans="1:28" ht="10.5" customHeight="1" x14ac:dyDescent="0.2">
      <c r="A132" s="204">
        <v>5</v>
      </c>
      <c r="B132" s="185" t="s">
        <v>152</v>
      </c>
      <c r="C132" s="185" t="s">
        <v>1</v>
      </c>
      <c r="D132" s="186" t="s">
        <v>59</v>
      </c>
      <c r="E132" s="186" t="s">
        <v>59</v>
      </c>
      <c r="F132" s="187" t="s">
        <v>59</v>
      </c>
      <c r="G132" s="187" t="s">
        <v>59</v>
      </c>
      <c r="H132" s="187"/>
      <c r="I132" s="186"/>
      <c r="J132" s="181"/>
      <c r="K132" s="182"/>
      <c r="L132" s="182"/>
      <c r="M132" s="182"/>
      <c r="N132" s="182"/>
      <c r="O132" s="182"/>
      <c r="P132" s="182"/>
      <c r="Q132" s="182"/>
      <c r="R132" s="182">
        <v>3</v>
      </c>
      <c r="S132" s="182"/>
      <c r="T132" s="182"/>
      <c r="U132" s="182"/>
      <c r="V132" s="182"/>
      <c r="W132" s="182"/>
      <c r="X132" s="182"/>
      <c r="Y132" s="182"/>
      <c r="AB132" s="175" t="str">
        <f t="shared" ref="AB132:AB135" si="47">B132</f>
        <v>Manuel Gulde</v>
      </c>
    </row>
    <row r="133" spans="1:28" ht="10.5" customHeight="1" x14ac:dyDescent="0.2">
      <c r="A133" s="204">
        <v>6</v>
      </c>
      <c r="B133" s="185" t="s">
        <v>459</v>
      </c>
      <c r="C133" s="185" t="s">
        <v>1</v>
      </c>
      <c r="D133" s="186" t="s">
        <v>59</v>
      </c>
      <c r="E133" s="186" t="s">
        <v>59</v>
      </c>
      <c r="F133" s="187" t="s">
        <v>59</v>
      </c>
      <c r="G133" s="187" t="s">
        <v>59</v>
      </c>
      <c r="H133" s="187"/>
      <c r="I133" s="186"/>
      <c r="J133" s="181"/>
      <c r="K133" s="182"/>
      <c r="L133" s="182"/>
      <c r="M133" s="182"/>
      <c r="N133" s="182"/>
      <c r="O133" s="182"/>
      <c r="P133" s="182"/>
      <c r="Q133" s="182"/>
      <c r="R133" s="182"/>
      <c r="S133" s="182"/>
      <c r="T133" s="182"/>
      <c r="U133" s="182"/>
      <c r="V133" s="182"/>
      <c r="W133" s="182"/>
      <c r="X133" s="182"/>
      <c r="Y133" s="182"/>
      <c r="AB133" s="175" t="str">
        <f t="shared" ref="AB133" si="48">B133</f>
        <v>Attila Szalai (A)</v>
      </c>
    </row>
    <row r="134" spans="1:28" ht="10.5" customHeight="1" x14ac:dyDescent="0.2">
      <c r="A134" s="204">
        <v>17</v>
      </c>
      <c r="B134" s="185" t="s">
        <v>146</v>
      </c>
      <c r="C134" s="185" t="s">
        <v>1</v>
      </c>
      <c r="D134" s="186" t="s">
        <v>59</v>
      </c>
      <c r="E134" s="186" t="s">
        <v>59</v>
      </c>
      <c r="F134" s="187" t="s">
        <v>59</v>
      </c>
      <c r="G134" s="187" t="s">
        <v>59</v>
      </c>
      <c r="H134" s="187"/>
      <c r="I134" s="186"/>
      <c r="J134" s="181"/>
      <c r="K134" s="182"/>
      <c r="L134" s="182"/>
      <c r="M134" s="182"/>
      <c r="N134" s="182"/>
      <c r="O134" s="182"/>
      <c r="P134" s="182"/>
      <c r="Q134" s="182"/>
      <c r="R134" s="182"/>
      <c r="S134" s="182"/>
      <c r="T134" s="182"/>
      <c r="U134" s="182"/>
      <c r="V134" s="182"/>
      <c r="W134" s="182"/>
      <c r="X134" s="182"/>
      <c r="Y134" s="182"/>
      <c r="AB134" s="175" t="str">
        <f t="shared" si="47"/>
        <v>Lukas Kübler</v>
      </c>
    </row>
    <row r="135" spans="1:28" ht="10.5" customHeight="1" x14ac:dyDescent="0.2">
      <c r="A135" s="204">
        <v>25</v>
      </c>
      <c r="B135" s="185" t="s">
        <v>258</v>
      </c>
      <c r="C135" s="185" t="s">
        <v>1</v>
      </c>
      <c r="D135" s="186" t="s">
        <v>59</v>
      </c>
      <c r="E135" s="186" t="s">
        <v>59</v>
      </c>
      <c r="F135" s="187" t="s">
        <v>59</v>
      </c>
      <c r="G135" s="187" t="s">
        <v>59</v>
      </c>
      <c r="H135" s="187"/>
      <c r="I135" s="186"/>
      <c r="J135" s="181"/>
      <c r="K135" s="182"/>
      <c r="L135" s="182"/>
      <c r="M135" s="182"/>
      <c r="N135" s="182"/>
      <c r="O135" s="182"/>
      <c r="P135" s="182"/>
      <c r="Q135" s="182"/>
      <c r="R135" s="182"/>
      <c r="S135" s="182"/>
      <c r="T135" s="182"/>
      <c r="U135" s="182"/>
      <c r="V135" s="182"/>
      <c r="W135" s="182"/>
      <c r="X135" s="182"/>
      <c r="Y135" s="182"/>
      <c r="AB135" s="175" t="str">
        <f t="shared" si="47"/>
        <v>Kiliann Sildillia (A)</v>
      </c>
    </row>
    <row r="136" spans="1:28" ht="10.5" customHeight="1" x14ac:dyDescent="0.2">
      <c r="A136" s="204">
        <v>28</v>
      </c>
      <c r="B136" s="185" t="s">
        <v>109</v>
      </c>
      <c r="C136" s="185" t="s">
        <v>1</v>
      </c>
      <c r="D136" s="186" t="s">
        <v>59</v>
      </c>
      <c r="E136" s="186" t="s">
        <v>59</v>
      </c>
      <c r="F136" s="187" t="s">
        <v>59</v>
      </c>
      <c r="G136" s="187" t="s">
        <v>59</v>
      </c>
      <c r="H136" s="187"/>
      <c r="I136" s="186"/>
      <c r="J136" s="181"/>
      <c r="K136" s="182"/>
      <c r="L136" s="182"/>
      <c r="M136" s="182"/>
      <c r="N136" s="182"/>
      <c r="O136" s="182"/>
      <c r="P136" s="182"/>
      <c r="Q136" s="182"/>
      <c r="R136" s="182"/>
      <c r="S136" s="182"/>
      <c r="T136" s="182"/>
      <c r="U136" s="182"/>
      <c r="V136" s="182"/>
      <c r="W136" s="182"/>
      <c r="X136" s="182"/>
      <c r="Y136" s="182"/>
      <c r="AB136" s="175" t="str">
        <f t="shared" si="46"/>
        <v>Matthias Ginter</v>
      </c>
    </row>
    <row r="137" spans="1:28" ht="10.5" customHeight="1" x14ac:dyDescent="0.2">
      <c r="A137" s="204">
        <v>30</v>
      </c>
      <c r="B137" s="185" t="s">
        <v>151</v>
      </c>
      <c r="C137" s="185" t="s">
        <v>1</v>
      </c>
      <c r="D137" s="186" t="s">
        <v>59</v>
      </c>
      <c r="E137" s="186" t="s">
        <v>59</v>
      </c>
      <c r="F137" s="187" t="s">
        <v>59</v>
      </c>
      <c r="G137" s="187" t="s">
        <v>59</v>
      </c>
      <c r="H137" s="187"/>
      <c r="I137" s="186"/>
      <c r="J137" s="181"/>
      <c r="K137" s="182">
        <v>4</v>
      </c>
      <c r="L137" s="182">
        <v>2</v>
      </c>
      <c r="M137" s="182"/>
      <c r="N137" s="182"/>
      <c r="O137" s="182"/>
      <c r="P137" s="182"/>
      <c r="Q137" s="182"/>
      <c r="R137" s="182"/>
      <c r="S137" s="182"/>
      <c r="T137" s="182"/>
      <c r="U137" s="182"/>
      <c r="V137" s="182"/>
      <c r="W137" s="182"/>
      <c r="X137" s="182"/>
      <c r="Y137" s="182"/>
      <c r="AB137" s="175" t="str">
        <f t="shared" ref="AB137:AB139" si="49">B137</f>
        <v>Christian Günter</v>
      </c>
    </row>
    <row r="138" spans="1:28" ht="10.5" customHeight="1" x14ac:dyDescent="0.2">
      <c r="A138" s="204">
        <v>33</v>
      </c>
      <c r="B138" s="185" t="s">
        <v>421</v>
      </c>
      <c r="C138" s="185" t="s">
        <v>1</v>
      </c>
      <c r="D138" s="186" t="s">
        <v>59</v>
      </c>
      <c r="E138" s="186" t="s">
        <v>59</v>
      </c>
      <c r="F138" s="187" t="s">
        <v>59</v>
      </c>
      <c r="G138" s="187" t="s">
        <v>59</v>
      </c>
      <c r="H138" s="187"/>
      <c r="I138" s="186"/>
      <c r="J138" s="181"/>
      <c r="K138" s="182"/>
      <c r="L138" s="182"/>
      <c r="M138" s="182"/>
      <c r="N138" s="182"/>
      <c r="O138" s="182"/>
      <c r="P138" s="182"/>
      <c r="Q138" s="182"/>
      <c r="R138" s="182"/>
      <c r="S138" s="182"/>
      <c r="T138" s="182"/>
      <c r="U138" s="182"/>
      <c r="V138" s="182"/>
      <c r="W138" s="182"/>
      <c r="X138" s="182"/>
      <c r="Y138" s="182"/>
      <c r="AB138" s="175" t="str">
        <f t="shared" si="49"/>
        <v>Jordy Makengo (A)</v>
      </c>
    </row>
    <row r="139" spans="1:28" ht="10.5" customHeight="1" x14ac:dyDescent="0.2">
      <c r="A139" s="204">
        <v>37</v>
      </c>
      <c r="B139" s="185" t="s">
        <v>422</v>
      </c>
      <c r="C139" s="185" t="s">
        <v>1</v>
      </c>
      <c r="D139" s="186" t="s">
        <v>59</v>
      </c>
      <c r="E139" s="186" t="s">
        <v>59</v>
      </c>
      <c r="F139" s="187" t="s">
        <v>59</v>
      </c>
      <c r="G139" s="187" t="s">
        <v>59</v>
      </c>
      <c r="H139" s="187"/>
      <c r="I139" s="186"/>
      <c r="J139" s="181"/>
      <c r="K139" s="182"/>
      <c r="L139" s="182"/>
      <c r="M139" s="182"/>
      <c r="N139" s="182"/>
      <c r="O139" s="182"/>
      <c r="P139" s="182"/>
      <c r="Q139" s="182"/>
      <c r="R139" s="182"/>
      <c r="S139" s="182"/>
      <c r="T139" s="182"/>
      <c r="U139" s="182"/>
      <c r="V139" s="182"/>
      <c r="W139" s="182"/>
      <c r="X139" s="182"/>
      <c r="Y139" s="182"/>
      <c r="AB139" s="175" t="str">
        <f t="shared" si="49"/>
        <v>Max Rosenfelder</v>
      </c>
    </row>
    <row r="140" spans="1:28" ht="10.5" customHeight="1" x14ac:dyDescent="0.2">
      <c r="A140" s="200">
        <v>7</v>
      </c>
      <c r="B140" s="190" t="s">
        <v>279</v>
      </c>
      <c r="C140" s="190" t="s">
        <v>2</v>
      </c>
      <c r="D140" s="191" t="s">
        <v>59</v>
      </c>
      <c r="E140" s="191" t="s">
        <v>59</v>
      </c>
      <c r="F140" s="192" t="s">
        <v>59</v>
      </c>
      <c r="G140" s="192" t="s">
        <v>59</v>
      </c>
      <c r="H140" s="192"/>
      <c r="I140" s="191"/>
      <c r="J140" s="181"/>
      <c r="K140" s="182"/>
      <c r="L140" s="182"/>
      <c r="M140" s="182"/>
      <c r="N140" s="182"/>
      <c r="O140" s="182"/>
      <c r="P140" s="182"/>
      <c r="Q140" s="182"/>
      <c r="R140" s="182"/>
      <c r="S140" s="182"/>
      <c r="T140" s="182"/>
      <c r="U140" s="182"/>
      <c r="V140" s="182"/>
      <c r="W140" s="182"/>
      <c r="X140" s="182"/>
      <c r="Y140" s="182"/>
      <c r="AB140" s="175" t="str">
        <f t="shared" ref="AB140" si="50">B140</f>
        <v>Noah Weisshaupt</v>
      </c>
    </row>
    <row r="141" spans="1:28" ht="10.5" customHeight="1" x14ac:dyDescent="0.2">
      <c r="A141" s="200">
        <v>8</v>
      </c>
      <c r="B141" s="190" t="s">
        <v>307</v>
      </c>
      <c r="C141" s="190" t="s">
        <v>2</v>
      </c>
      <c r="D141" s="191" t="s">
        <v>59</v>
      </c>
      <c r="E141" s="191" t="s">
        <v>59</v>
      </c>
      <c r="F141" s="192" t="s">
        <v>59</v>
      </c>
      <c r="G141" s="192" t="s">
        <v>59</v>
      </c>
      <c r="H141" s="192"/>
      <c r="I141" s="191"/>
      <c r="J141" s="181"/>
      <c r="K141" s="182"/>
      <c r="L141" s="182">
        <v>5</v>
      </c>
      <c r="M141" s="182"/>
      <c r="N141" s="182"/>
      <c r="O141" s="182"/>
      <c r="P141" s="182"/>
      <c r="Q141" s="182"/>
      <c r="R141" s="182"/>
      <c r="S141" s="182"/>
      <c r="T141" s="182"/>
      <c r="U141" s="182"/>
      <c r="V141" s="182"/>
      <c r="W141" s="182"/>
      <c r="X141" s="182"/>
      <c r="Y141" s="182"/>
      <c r="AB141" s="175" t="str">
        <f t="shared" ref="AB141:AB152" si="51">B141</f>
        <v>Maximilian Eggestein</v>
      </c>
    </row>
    <row r="142" spans="1:28" ht="10.5" customHeight="1" x14ac:dyDescent="0.2">
      <c r="A142" s="200">
        <v>11</v>
      </c>
      <c r="B142" s="190" t="s">
        <v>336</v>
      </c>
      <c r="C142" s="190" t="s">
        <v>2</v>
      </c>
      <c r="D142" s="191" t="s">
        <v>59</v>
      </c>
      <c r="E142" s="191" t="s">
        <v>59</v>
      </c>
      <c r="F142" s="192" t="s">
        <v>59</v>
      </c>
      <c r="G142" s="192" t="s">
        <v>59</v>
      </c>
      <c r="H142" s="192"/>
      <c r="I142" s="191"/>
      <c r="J142" s="181"/>
      <c r="K142" s="182"/>
      <c r="L142" s="182"/>
      <c r="M142" s="182"/>
      <c r="N142" s="182"/>
      <c r="O142" s="182"/>
      <c r="P142" s="182"/>
      <c r="Q142" s="182"/>
      <c r="R142" s="182"/>
      <c r="S142" s="182"/>
      <c r="T142" s="182"/>
      <c r="U142" s="182"/>
      <c r="V142" s="182"/>
      <c r="W142" s="182"/>
      <c r="X142" s="182"/>
      <c r="Y142" s="182"/>
      <c r="AB142" s="175" t="str">
        <f t="shared" si="51"/>
        <v>Daniel-Kofi Kyereh</v>
      </c>
    </row>
    <row r="143" spans="1:28" ht="10.5" customHeight="1" x14ac:dyDescent="0.2">
      <c r="A143" s="200">
        <v>14</v>
      </c>
      <c r="B143" s="190" t="s">
        <v>222</v>
      </c>
      <c r="C143" s="190" t="s">
        <v>2</v>
      </c>
      <c r="D143" s="191" t="s">
        <v>59</v>
      </c>
      <c r="E143" s="191" t="s">
        <v>59</v>
      </c>
      <c r="F143" s="192" t="s">
        <v>59</v>
      </c>
      <c r="G143" s="192" t="s">
        <v>59</v>
      </c>
      <c r="H143" s="192"/>
      <c r="I143" s="191"/>
      <c r="J143" s="181"/>
      <c r="K143" s="182"/>
      <c r="L143" s="182"/>
      <c r="M143" s="182"/>
      <c r="N143" s="182"/>
      <c r="O143" s="182"/>
      <c r="P143" s="182"/>
      <c r="Q143" s="182"/>
      <c r="R143" s="182"/>
      <c r="S143" s="182"/>
      <c r="T143" s="182"/>
      <c r="U143" s="182"/>
      <c r="V143" s="182"/>
      <c r="W143" s="182"/>
      <c r="X143" s="182"/>
      <c r="Y143" s="182"/>
      <c r="AB143" s="175" t="str">
        <f t="shared" si="51"/>
        <v>Yannik Keitel</v>
      </c>
    </row>
    <row r="144" spans="1:28" ht="10.5" customHeight="1" x14ac:dyDescent="0.2">
      <c r="A144" s="200">
        <v>22</v>
      </c>
      <c r="B144" s="190" t="s">
        <v>198</v>
      </c>
      <c r="C144" s="190" t="s">
        <v>2</v>
      </c>
      <c r="D144" s="191" t="s">
        <v>59</v>
      </c>
      <c r="E144" s="191" t="s">
        <v>59</v>
      </c>
      <c r="F144" s="192" t="s">
        <v>59</v>
      </c>
      <c r="G144" s="192" t="s">
        <v>59</v>
      </c>
      <c r="H144" s="192"/>
      <c r="I144" s="191"/>
      <c r="J144" s="181"/>
      <c r="K144" s="182"/>
      <c r="L144" s="182"/>
      <c r="M144" s="182"/>
      <c r="N144" s="182"/>
      <c r="O144" s="182"/>
      <c r="P144" s="182"/>
      <c r="Q144" s="182"/>
      <c r="R144" s="182"/>
      <c r="S144" s="182"/>
      <c r="T144" s="182"/>
      <c r="U144" s="182"/>
      <c r="V144" s="182"/>
      <c r="W144" s="182"/>
      <c r="X144" s="182"/>
      <c r="Y144" s="182"/>
      <c r="AB144" s="175" t="str">
        <f t="shared" si="51"/>
        <v>Roland Sallai (A)</v>
      </c>
    </row>
    <row r="145" spans="1:28" ht="10.5" customHeight="1" x14ac:dyDescent="0.2">
      <c r="A145" s="200">
        <v>23</v>
      </c>
      <c r="B145" s="190" t="s">
        <v>656</v>
      </c>
      <c r="C145" s="190" t="s">
        <v>2</v>
      </c>
      <c r="D145" s="191" t="s">
        <v>59</v>
      </c>
      <c r="E145" s="191" t="s">
        <v>59</v>
      </c>
      <c r="F145" s="192" t="s">
        <v>59</v>
      </c>
      <c r="G145" s="192" t="s">
        <v>59</v>
      </c>
      <c r="H145" s="192"/>
      <c r="I145" s="191"/>
      <c r="J145" s="181"/>
      <c r="K145" s="182"/>
      <c r="L145" s="182"/>
      <c r="M145" s="182"/>
      <c r="N145" s="182"/>
      <c r="O145" s="182"/>
      <c r="P145" s="182"/>
      <c r="Q145" s="182"/>
      <c r="R145" s="182"/>
      <c r="S145" s="182"/>
      <c r="T145" s="182"/>
      <c r="U145" s="182"/>
      <c r="V145" s="182"/>
      <c r="W145" s="182"/>
      <c r="X145" s="182"/>
      <c r="Y145" s="182"/>
      <c r="AB145" s="175" t="str">
        <f t="shared" ref="AB145" si="52">B145</f>
        <v>Florent Muslija</v>
      </c>
    </row>
    <row r="146" spans="1:28" ht="10.5" customHeight="1" x14ac:dyDescent="0.2">
      <c r="A146" s="200">
        <v>27</v>
      </c>
      <c r="B146" s="190" t="s">
        <v>141</v>
      </c>
      <c r="C146" s="190" t="s">
        <v>2</v>
      </c>
      <c r="D146" s="191" t="s">
        <v>59</v>
      </c>
      <c r="E146" s="191" t="s">
        <v>59</v>
      </c>
      <c r="F146" s="192" t="s">
        <v>59</v>
      </c>
      <c r="G146" s="192" t="s">
        <v>59</v>
      </c>
      <c r="H146" s="192"/>
      <c r="I146" s="191"/>
      <c r="J146" s="181"/>
      <c r="K146" s="182"/>
      <c r="L146" s="182"/>
      <c r="M146" s="182"/>
      <c r="N146" s="182"/>
      <c r="O146" s="182"/>
      <c r="P146" s="182"/>
      <c r="Q146" s="182"/>
      <c r="R146" s="182"/>
      <c r="S146" s="182"/>
      <c r="T146" s="182"/>
      <c r="U146" s="182"/>
      <c r="V146" s="182"/>
      <c r="W146" s="182"/>
      <c r="X146" s="182"/>
      <c r="Y146" s="182"/>
      <c r="AB146" s="175" t="str">
        <f t="shared" si="51"/>
        <v>Nicolas Höfler</v>
      </c>
    </row>
    <row r="147" spans="1:28" ht="10.5" customHeight="1" x14ac:dyDescent="0.2">
      <c r="A147" s="200">
        <v>32</v>
      </c>
      <c r="B147" s="190" t="s">
        <v>393</v>
      </c>
      <c r="C147" s="190" t="s">
        <v>2</v>
      </c>
      <c r="D147" s="191" t="s">
        <v>59</v>
      </c>
      <c r="E147" s="191" t="s">
        <v>59</v>
      </c>
      <c r="F147" s="192" t="s">
        <v>59</v>
      </c>
      <c r="G147" s="192" t="s">
        <v>59</v>
      </c>
      <c r="H147" s="192"/>
      <c r="I147" s="191"/>
      <c r="J147" s="181"/>
      <c r="K147" s="182"/>
      <c r="L147" s="182"/>
      <c r="M147" s="182"/>
      <c r="N147" s="182">
        <v>8</v>
      </c>
      <c r="O147" s="182"/>
      <c r="P147" s="182"/>
      <c r="Q147" s="182"/>
      <c r="R147" s="182"/>
      <c r="S147" s="182"/>
      <c r="T147" s="182"/>
      <c r="U147" s="182"/>
      <c r="V147" s="182"/>
      <c r="W147" s="182"/>
      <c r="X147" s="182"/>
      <c r="Y147" s="182"/>
      <c r="AB147" s="175" t="str">
        <f t="shared" si="51"/>
        <v>Vincenzo Grifo</v>
      </c>
    </row>
    <row r="148" spans="1:28" ht="10.5" customHeight="1" x14ac:dyDescent="0.2">
      <c r="A148" s="200">
        <v>34</v>
      </c>
      <c r="B148" s="190" t="s">
        <v>374</v>
      </c>
      <c r="C148" s="190" t="s">
        <v>2</v>
      </c>
      <c r="D148" s="191" t="s">
        <v>59</v>
      </c>
      <c r="E148" s="191" t="s">
        <v>59</v>
      </c>
      <c r="F148" s="192" t="s">
        <v>59</v>
      </c>
      <c r="G148" s="192" t="s">
        <v>59</v>
      </c>
      <c r="H148" s="192"/>
      <c r="I148" s="191"/>
      <c r="J148" s="181"/>
      <c r="K148" s="182"/>
      <c r="L148" s="182"/>
      <c r="M148" s="182"/>
      <c r="N148" s="182"/>
      <c r="O148" s="182"/>
      <c r="P148" s="182"/>
      <c r="Q148" s="182"/>
      <c r="R148" s="182"/>
      <c r="S148" s="182"/>
      <c r="T148" s="182"/>
      <c r="U148" s="182"/>
      <c r="V148" s="182"/>
      <c r="W148" s="182"/>
      <c r="X148" s="182"/>
      <c r="Y148" s="182"/>
      <c r="AB148" s="175" t="str">
        <f t="shared" si="51"/>
        <v>Merlin Röhl</v>
      </c>
    </row>
    <row r="149" spans="1:28" ht="10.5" customHeight="1" x14ac:dyDescent="0.2">
      <c r="A149" s="200">
        <v>35</v>
      </c>
      <c r="B149" s="190" t="s">
        <v>617</v>
      </c>
      <c r="C149" s="190" t="s">
        <v>2</v>
      </c>
      <c r="D149" s="191" t="s">
        <v>59</v>
      </c>
      <c r="E149" s="191" t="s">
        <v>59</v>
      </c>
      <c r="F149" s="192" t="s">
        <v>59</v>
      </c>
      <c r="G149" s="192" t="s">
        <v>59</v>
      </c>
      <c r="H149" s="192"/>
      <c r="I149" s="191"/>
      <c r="J149" s="181"/>
      <c r="K149" s="182"/>
      <c r="L149" s="182"/>
      <c r="M149" s="182"/>
      <c r="N149" s="182"/>
      <c r="O149" s="182"/>
      <c r="P149" s="182"/>
      <c r="Q149" s="182"/>
      <c r="R149" s="182"/>
      <c r="S149" s="182"/>
      <c r="T149" s="182"/>
      <c r="U149" s="182"/>
      <c r="V149" s="182"/>
      <c r="W149" s="182"/>
      <c r="X149" s="182"/>
      <c r="Y149" s="182"/>
      <c r="AB149" s="175" t="str">
        <f t="shared" si="51"/>
        <v>Fabian Rüdlin</v>
      </c>
    </row>
    <row r="150" spans="1:28" ht="10.5" customHeight="1" x14ac:dyDescent="0.2">
      <c r="A150" s="200">
        <v>42</v>
      </c>
      <c r="B150" s="190" t="s">
        <v>571</v>
      </c>
      <c r="C150" s="190" t="s">
        <v>2</v>
      </c>
      <c r="D150" s="191" t="s">
        <v>59</v>
      </c>
      <c r="E150" s="191" t="s">
        <v>59</v>
      </c>
      <c r="F150" s="192" t="s">
        <v>59</v>
      </c>
      <c r="G150" s="192" t="s">
        <v>59</v>
      </c>
      <c r="H150" s="192"/>
      <c r="I150" s="191"/>
      <c r="J150" s="181"/>
      <c r="K150" s="182"/>
      <c r="L150" s="182"/>
      <c r="M150" s="182"/>
      <c r="N150" s="182"/>
      <c r="O150" s="182"/>
      <c r="P150" s="182"/>
      <c r="Q150" s="182"/>
      <c r="R150" s="182"/>
      <c r="S150" s="182"/>
      <c r="T150" s="182"/>
      <c r="U150" s="182"/>
      <c r="V150" s="182"/>
      <c r="W150" s="182"/>
      <c r="X150" s="182"/>
      <c r="Y150" s="182"/>
      <c r="AB150" s="175" t="str">
        <f t="shared" ref="AB150:AB151" si="53">B150</f>
        <v>Ritsu Dōan (A)</v>
      </c>
    </row>
    <row r="151" spans="1:28" ht="10.5" customHeight="1" x14ac:dyDescent="0.2">
      <c r="A151" s="200">
        <v>43</v>
      </c>
      <c r="B151" s="190" t="s">
        <v>630</v>
      </c>
      <c r="C151" s="190" t="s">
        <v>2</v>
      </c>
      <c r="D151" s="191" t="s">
        <v>59</v>
      </c>
      <c r="E151" s="191" t="s">
        <v>59</v>
      </c>
      <c r="F151" s="192" t="s">
        <v>59</v>
      </c>
      <c r="G151" s="192" t="s">
        <v>59</v>
      </c>
      <c r="H151" s="192"/>
      <c r="I151" s="191"/>
      <c r="J151" s="181"/>
      <c r="K151" s="182"/>
      <c r="L151" s="182"/>
      <c r="M151" s="182"/>
      <c r="N151" s="182"/>
      <c r="O151" s="182"/>
      <c r="P151" s="182"/>
      <c r="Q151" s="182"/>
      <c r="R151" s="182"/>
      <c r="S151" s="182"/>
      <c r="T151" s="182"/>
      <c r="U151" s="182"/>
      <c r="V151" s="182"/>
      <c r="W151" s="182"/>
      <c r="X151" s="182"/>
      <c r="Y151" s="182"/>
      <c r="AB151" s="175" t="str">
        <f t="shared" si="53"/>
        <v>Ryan Johansson (A)</v>
      </c>
    </row>
    <row r="152" spans="1:28" ht="10.5" customHeight="1" x14ac:dyDescent="0.2">
      <c r="A152" s="200">
        <v>54</v>
      </c>
      <c r="B152" s="190" t="s">
        <v>549</v>
      </c>
      <c r="C152" s="190" t="s">
        <v>2</v>
      </c>
      <c r="D152" s="191" t="s">
        <v>59</v>
      </c>
      <c r="E152" s="191" t="s">
        <v>59</v>
      </c>
      <c r="F152" s="192" t="s">
        <v>59</v>
      </c>
      <c r="G152" s="192" t="s">
        <v>59</v>
      </c>
      <c r="H152" s="192"/>
      <c r="I152" s="191"/>
      <c r="J152" s="181"/>
      <c r="K152" s="182"/>
      <c r="L152" s="182"/>
      <c r="M152" s="182"/>
      <c r="N152" s="182"/>
      <c r="O152" s="182"/>
      <c r="P152" s="182"/>
      <c r="Q152" s="182"/>
      <c r="R152" s="182"/>
      <c r="S152" s="182"/>
      <c r="T152" s="182"/>
      <c r="U152" s="182"/>
      <c r="V152" s="182"/>
      <c r="W152" s="182"/>
      <c r="X152" s="182"/>
      <c r="Y152" s="182"/>
      <c r="AB152" s="175" t="str">
        <f t="shared" si="51"/>
        <v>Mika Baur</v>
      </c>
    </row>
    <row r="153" spans="1:28" ht="10.5" customHeight="1" x14ac:dyDescent="0.2">
      <c r="A153" s="201">
        <v>9</v>
      </c>
      <c r="B153" s="195" t="s">
        <v>170</v>
      </c>
      <c r="C153" s="195" t="s">
        <v>3</v>
      </c>
      <c r="D153" s="196" t="s">
        <v>59</v>
      </c>
      <c r="E153" s="196" t="s">
        <v>59</v>
      </c>
      <c r="F153" s="197" t="s">
        <v>59</v>
      </c>
      <c r="G153" s="197" t="s">
        <v>59</v>
      </c>
      <c r="H153" s="197"/>
      <c r="I153" s="196"/>
      <c r="J153" s="181"/>
      <c r="K153" s="182"/>
      <c r="L153" s="182"/>
      <c r="M153" s="182"/>
      <c r="N153" s="182"/>
      <c r="O153" s="182"/>
      <c r="P153" s="182"/>
      <c r="Q153" s="182"/>
      <c r="R153" s="182"/>
      <c r="S153" s="182"/>
      <c r="T153" s="182"/>
      <c r="U153" s="182"/>
      <c r="V153" s="182"/>
      <c r="W153" s="182"/>
      <c r="X153" s="182"/>
      <c r="Y153" s="182"/>
      <c r="AB153" s="175" t="str">
        <f t="shared" si="43"/>
        <v>Lucas Höler</v>
      </c>
    </row>
    <row r="154" spans="1:28" ht="10.5" customHeight="1" x14ac:dyDescent="0.2">
      <c r="A154" s="201">
        <v>20</v>
      </c>
      <c r="B154" s="195" t="s">
        <v>423</v>
      </c>
      <c r="C154" s="195" t="s">
        <v>3</v>
      </c>
      <c r="D154" s="196" t="s">
        <v>59</v>
      </c>
      <c r="E154" s="196" t="s">
        <v>59</v>
      </c>
      <c r="F154" s="197" t="s">
        <v>59</v>
      </c>
      <c r="G154" s="197" t="s">
        <v>59</v>
      </c>
      <c r="H154" s="197"/>
      <c r="I154" s="196"/>
      <c r="J154" s="181"/>
      <c r="K154" s="182"/>
      <c r="L154" s="182"/>
      <c r="M154" s="182"/>
      <c r="N154" s="182"/>
      <c r="O154" s="182"/>
      <c r="P154" s="182"/>
      <c r="Q154" s="182"/>
      <c r="R154" s="182"/>
      <c r="S154" s="182"/>
      <c r="T154" s="182"/>
      <c r="U154" s="182"/>
      <c r="V154" s="182"/>
      <c r="W154" s="182"/>
      <c r="X154" s="182"/>
      <c r="Y154" s="182"/>
      <c r="AB154" s="175" t="str">
        <f t="shared" ref="AB154:AB157" si="54">B154</f>
        <v>Junior Adamu (A)</v>
      </c>
    </row>
    <row r="155" spans="1:28" ht="10.5" customHeight="1" x14ac:dyDescent="0.2">
      <c r="A155" s="201">
        <v>26</v>
      </c>
      <c r="B155" s="195" t="s">
        <v>251</v>
      </c>
      <c r="C155" s="195" t="s">
        <v>3</v>
      </c>
      <c r="D155" s="196" t="s">
        <v>59</v>
      </c>
      <c r="E155" s="196" t="s">
        <v>59</v>
      </c>
      <c r="F155" s="197" t="s">
        <v>59</v>
      </c>
      <c r="G155" s="197" t="s">
        <v>59</v>
      </c>
      <c r="H155" s="197"/>
      <c r="I155" s="196"/>
      <c r="J155" s="181"/>
      <c r="K155" s="182"/>
      <c r="L155" s="182"/>
      <c r="M155" s="182"/>
      <c r="N155" s="182"/>
      <c r="O155" s="182"/>
      <c r="P155" s="182"/>
      <c r="Q155" s="182"/>
      <c r="R155" s="182"/>
      <c r="S155" s="182"/>
      <c r="T155" s="182"/>
      <c r="U155" s="182"/>
      <c r="V155" s="182"/>
      <c r="W155" s="182"/>
      <c r="X155" s="182"/>
      <c r="Y155" s="182"/>
      <c r="AB155" s="175" t="str">
        <f t="shared" si="54"/>
        <v>Maximilian Philipp</v>
      </c>
    </row>
    <row r="156" spans="1:28" ht="10.5" customHeight="1" x14ac:dyDescent="0.2">
      <c r="A156" s="201">
        <v>38</v>
      </c>
      <c r="B156" s="195" t="s">
        <v>236</v>
      </c>
      <c r="C156" s="195" t="s">
        <v>3</v>
      </c>
      <c r="D156" s="196" t="s">
        <v>59</v>
      </c>
      <c r="E156" s="196" t="s">
        <v>59</v>
      </c>
      <c r="F156" s="197" t="s">
        <v>59</v>
      </c>
      <c r="G156" s="197" t="s">
        <v>59</v>
      </c>
      <c r="H156" s="197"/>
      <c r="I156" s="196"/>
      <c r="J156" s="181"/>
      <c r="K156" s="182"/>
      <c r="L156" s="182"/>
      <c r="M156" s="182">
        <v>9</v>
      </c>
      <c r="N156" s="182"/>
      <c r="O156" s="182"/>
      <c r="P156" s="182"/>
      <c r="Q156" s="182"/>
      <c r="R156" s="182"/>
      <c r="S156" s="182"/>
      <c r="T156" s="182"/>
      <c r="U156" s="182"/>
      <c r="V156" s="182"/>
      <c r="W156" s="182"/>
      <c r="X156" s="182"/>
      <c r="Y156" s="182"/>
      <c r="AB156" s="175" t="str">
        <f t="shared" ref="AB156" si="55">B156</f>
        <v>Michael Gregoritsch (A)</v>
      </c>
    </row>
    <row r="157" spans="1:28" ht="10.5" customHeight="1" x14ac:dyDescent="0.2">
      <c r="A157" s="201">
        <v>44</v>
      </c>
      <c r="B157" s="195" t="s">
        <v>550</v>
      </c>
      <c r="C157" s="195" t="s">
        <v>3</v>
      </c>
      <c r="D157" s="196" t="s">
        <v>59</v>
      </c>
      <c r="E157" s="196" t="s">
        <v>59</v>
      </c>
      <c r="F157" s="197" t="s">
        <v>59</v>
      </c>
      <c r="G157" s="197" t="s">
        <v>59</v>
      </c>
      <c r="H157" s="197"/>
      <c r="I157" s="196"/>
      <c r="J157" s="181"/>
      <c r="K157" s="182"/>
      <c r="L157" s="182"/>
      <c r="M157" s="182"/>
      <c r="N157" s="182"/>
      <c r="O157" s="182"/>
      <c r="P157" s="182"/>
      <c r="Q157" s="182"/>
      <c r="R157" s="182"/>
      <c r="S157" s="182"/>
      <c r="T157" s="182"/>
      <c r="U157" s="182"/>
      <c r="V157" s="182"/>
      <c r="W157" s="182"/>
      <c r="X157" s="182"/>
      <c r="Y157" s="182"/>
      <c r="AB157" s="175" t="str">
        <f t="shared" si="54"/>
        <v>Maximilian Breunig</v>
      </c>
    </row>
    <row r="158" spans="1:28" ht="15" customHeight="1" thickBot="1" x14ac:dyDescent="0.25">
      <c r="A158" s="219" t="s">
        <v>30</v>
      </c>
      <c r="B158" s="219"/>
      <c r="C158" s="219"/>
      <c r="D158" s="219"/>
      <c r="E158" s="219"/>
      <c r="F158" s="219"/>
      <c r="G158" s="219"/>
      <c r="H158" s="219"/>
      <c r="I158" s="219"/>
      <c r="J158" s="10"/>
      <c r="K158" s="176">
        <v>12</v>
      </c>
      <c r="L158" s="176">
        <v>12</v>
      </c>
      <c r="M158" s="176">
        <v>12</v>
      </c>
      <c r="N158" s="176">
        <v>12</v>
      </c>
      <c r="O158" s="176">
        <v>12</v>
      </c>
      <c r="P158" s="176">
        <v>12</v>
      </c>
      <c r="Q158" s="176">
        <v>12</v>
      </c>
      <c r="R158" s="176">
        <v>12</v>
      </c>
      <c r="S158" s="176">
        <v>12</v>
      </c>
      <c r="T158" s="176">
        <v>12</v>
      </c>
      <c r="U158" s="176">
        <v>12</v>
      </c>
      <c r="V158" s="176">
        <v>12</v>
      </c>
      <c r="W158" s="176">
        <v>12</v>
      </c>
      <c r="X158" s="176">
        <v>12</v>
      </c>
      <c r="Y158" s="176">
        <v>12</v>
      </c>
      <c r="Z158" s="217"/>
      <c r="AB158" s="175" t="str">
        <f>A158</f>
        <v>Bayer Leverkusen</v>
      </c>
    </row>
    <row r="159" spans="1:28" s="113" customFormat="1" ht="10.5" customHeight="1" x14ac:dyDescent="0.2">
      <c r="A159" s="177">
        <v>1</v>
      </c>
      <c r="B159" s="178" t="s">
        <v>572</v>
      </c>
      <c r="C159" s="178" t="s">
        <v>0</v>
      </c>
      <c r="D159" s="179" t="s">
        <v>59</v>
      </c>
      <c r="E159" s="179" t="s">
        <v>59</v>
      </c>
      <c r="F159" s="180" t="s">
        <v>59</v>
      </c>
      <c r="G159" s="180" t="s">
        <v>59</v>
      </c>
      <c r="H159" s="180"/>
      <c r="I159" s="179"/>
      <c r="J159" s="181"/>
      <c r="K159" s="182"/>
      <c r="L159" s="182"/>
      <c r="M159" s="182"/>
      <c r="N159" s="182"/>
      <c r="O159" s="182"/>
      <c r="P159" s="182"/>
      <c r="Q159" s="182"/>
      <c r="R159" s="182"/>
      <c r="S159" s="182"/>
      <c r="T159" s="182"/>
      <c r="U159" s="182"/>
      <c r="V159" s="182"/>
      <c r="W159" s="182"/>
      <c r="X159" s="182"/>
      <c r="Y159" s="182"/>
      <c r="Z159" s="172"/>
      <c r="AB159" s="175" t="str">
        <f>B159</f>
        <v>Lukáš Hrádecký (A)</v>
      </c>
    </row>
    <row r="160" spans="1:28" s="113" customFormat="1" ht="10.5" customHeight="1" x14ac:dyDescent="0.2">
      <c r="A160" s="177">
        <v>17</v>
      </c>
      <c r="B160" s="178" t="s">
        <v>573</v>
      </c>
      <c r="C160" s="178" t="s">
        <v>0</v>
      </c>
      <c r="D160" s="179" t="s">
        <v>59</v>
      </c>
      <c r="E160" s="179" t="s">
        <v>59</v>
      </c>
      <c r="F160" s="180" t="s">
        <v>59</v>
      </c>
      <c r="G160" s="180" t="s">
        <v>59</v>
      </c>
      <c r="H160" s="180"/>
      <c r="I160" s="179"/>
      <c r="J160" s="181"/>
      <c r="K160" s="182"/>
      <c r="L160" s="182"/>
      <c r="M160" s="182"/>
      <c r="N160" s="182"/>
      <c r="O160" s="182"/>
      <c r="P160" s="182"/>
      <c r="Q160" s="182"/>
      <c r="R160" s="182"/>
      <c r="S160" s="182"/>
      <c r="T160" s="182"/>
      <c r="U160" s="182"/>
      <c r="V160" s="182"/>
      <c r="W160" s="182"/>
      <c r="X160" s="182"/>
      <c r="Y160" s="182"/>
      <c r="Z160" s="172"/>
      <c r="AB160" s="175" t="str">
        <f t="shared" ref="AB160" si="56">B160</f>
        <v>Matěj Kovář (A)</v>
      </c>
    </row>
    <row r="161" spans="1:28" s="113" customFormat="1" ht="10.5" customHeight="1" x14ac:dyDescent="0.2">
      <c r="A161" s="177">
        <v>36</v>
      </c>
      <c r="B161" s="178" t="s">
        <v>185</v>
      </c>
      <c r="C161" s="178" t="s">
        <v>0</v>
      </c>
      <c r="D161" s="179" t="s">
        <v>59</v>
      </c>
      <c r="E161" s="179" t="s">
        <v>59</v>
      </c>
      <c r="F161" s="180" t="s">
        <v>59</v>
      </c>
      <c r="G161" s="180" t="s">
        <v>59</v>
      </c>
      <c r="H161" s="180"/>
      <c r="I161" s="179"/>
      <c r="J161" s="181"/>
      <c r="K161" s="182"/>
      <c r="L161" s="182"/>
      <c r="M161" s="182"/>
      <c r="N161" s="182"/>
      <c r="O161" s="182"/>
      <c r="P161" s="182"/>
      <c r="Q161" s="182"/>
      <c r="R161" s="182"/>
      <c r="S161" s="182"/>
      <c r="T161" s="182"/>
      <c r="U161" s="182"/>
      <c r="V161" s="182"/>
      <c r="W161" s="182"/>
      <c r="X161" s="182"/>
      <c r="Y161" s="182"/>
      <c r="Z161" s="172"/>
      <c r="AB161" s="175" t="str">
        <f t="shared" ref="AB161:AB162" si="57">B161</f>
        <v>Niklas Lomb</v>
      </c>
    </row>
    <row r="162" spans="1:28" s="113" customFormat="1" ht="10.5" customHeight="1" x14ac:dyDescent="0.2">
      <c r="A162" s="198">
        <v>2</v>
      </c>
      <c r="B162" s="199" t="s">
        <v>574</v>
      </c>
      <c r="C162" s="185" t="s">
        <v>1</v>
      </c>
      <c r="D162" s="186" t="s">
        <v>59</v>
      </c>
      <c r="E162" s="186" t="s">
        <v>59</v>
      </c>
      <c r="F162" s="187" t="s">
        <v>59</v>
      </c>
      <c r="G162" s="187" t="s">
        <v>59</v>
      </c>
      <c r="H162" s="187"/>
      <c r="I162" s="186"/>
      <c r="J162" s="181"/>
      <c r="K162" s="182"/>
      <c r="L162" s="182"/>
      <c r="M162" s="182"/>
      <c r="N162" s="182"/>
      <c r="O162" s="182"/>
      <c r="P162" s="182"/>
      <c r="Q162" s="182"/>
      <c r="R162" s="182"/>
      <c r="S162" s="182"/>
      <c r="T162" s="182"/>
      <c r="U162" s="182"/>
      <c r="V162" s="182"/>
      <c r="W162" s="182"/>
      <c r="X162" s="182"/>
      <c r="Y162" s="182"/>
      <c r="Z162" s="172"/>
      <c r="AB162" s="175" t="str">
        <f t="shared" si="57"/>
        <v>Josip Stanišić</v>
      </c>
    </row>
    <row r="163" spans="1:28" s="113" customFormat="1" ht="10.5" customHeight="1" x14ac:dyDescent="0.2">
      <c r="A163" s="198">
        <v>3</v>
      </c>
      <c r="B163" s="199" t="s">
        <v>306</v>
      </c>
      <c r="C163" s="185" t="s">
        <v>1</v>
      </c>
      <c r="D163" s="186" t="s">
        <v>59</v>
      </c>
      <c r="E163" s="186" t="s">
        <v>59</v>
      </c>
      <c r="F163" s="187" t="s">
        <v>59</v>
      </c>
      <c r="G163" s="187" t="s">
        <v>59</v>
      </c>
      <c r="H163" s="187"/>
      <c r="I163" s="186"/>
      <c r="J163" s="181"/>
      <c r="K163" s="182"/>
      <c r="L163" s="182"/>
      <c r="M163" s="182"/>
      <c r="N163" s="182">
        <v>3</v>
      </c>
      <c r="O163" s="182"/>
      <c r="P163" s="182"/>
      <c r="Q163" s="182"/>
      <c r="R163" s="182"/>
      <c r="S163" s="182"/>
      <c r="T163" s="182"/>
      <c r="U163" s="182"/>
      <c r="V163" s="182"/>
      <c r="W163" s="182"/>
      <c r="X163" s="182"/>
      <c r="Y163" s="182"/>
      <c r="Z163" s="172"/>
      <c r="AB163" s="175" t="str">
        <f t="shared" ref="AB163:AB176" si="58">B163</f>
        <v>Piero Hincapie (A)</v>
      </c>
    </row>
    <row r="164" spans="1:28" s="113" customFormat="1" ht="10.5" customHeight="1" x14ac:dyDescent="0.2">
      <c r="A164" s="198">
        <v>4</v>
      </c>
      <c r="B164" s="199" t="s">
        <v>117</v>
      </c>
      <c r="C164" s="185" t="s">
        <v>1</v>
      </c>
      <c r="D164" s="186" t="s">
        <v>59</v>
      </c>
      <c r="E164" s="186" t="s">
        <v>59</v>
      </c>
      <c r="F164" s="187" t="s">
        <v>59</v>
      </c>
      <c r="G164" s="187" t="s">
        <v>59</v>
      </c>
      <c r="H164" s="187"/>
      <c r="I164" s="186"/>
      <c r="J164" s="181"/>
      <c r="K164" s="182">
        <v>3</v>
      </c>
      <c r="L164" s="182"/>
      <c r="M164" s="182">
        <v>4</v>
      </c>
      <c r="N164" s="182"/>
      <c r="O164" s="182"/>
      <c r="P164" s="182"/>
      <c r="Q164" s="182"/>
      <c r="R164" s="182"/>
      <c r="S164" s="182">
        <v>3</v>
      </c>
      <c r="T164" s="182"/>
      <c r="U164" s="182"/>
      <c r="V164" s="182"/>
      <c r="W164" s="182"/>
      <c r="X164" s="182"/>
      <c r="Y164" s="182"/>
      <c r="Z164" s="172"/>
      <c r="AB164" s="175" t="str">
        <f t="shared" ref="AB164" si="59">B164</f>
        <v>Jonathan Tah</v>
      </c>
    </row>
    <row r="165" spans="1:28" s="113" customFormat="1" ht="10.5" customHeight="1" x14ac:dyDescent="0.2">
      <c r="A165" s="198">
        <v>6</v>
      </c>
      <c r="B165" s="199" t="s">
        <v>270</v>
      </c>
      <c r="C165" s="185" t="s">
        <v>1</v>
      </c>
      <c r="D165" s="186" t="s">
        <v>59</v>
      </c>
      <c r="E165" s="186" t="s">
        <v>59</v>
      </c>
      <c r="F165" s="187" t="s">
        <v>59</v>
      </c>
      <c r="G165" s="187" t="s">
        <v>59</v>
      </c>
      <c r="H165" s="187"/>
      <c r="I165" s="186"/>
      <c r="J165" s="181"/>
      <c r="K165" s="182"/>
      <c r="L165" s="182"/>
      <c r="M165" s="182"/>
      <c r="N165" s="182"/>
      <c r="O165" s="182"/>
      <c r="P165" s="182"/>
      <c r="Q165" s="182"/>
      <c r="R165" s="182"/>
      <c r="S165" s="182"/>
      <c r="T165" s="182"/>
      <c r="U165" s="182"/>
      <c r="V165" s="182"/>
      <c r="W165" s="182"/>
      <c r="X165" s="182"/>
      <c r="Y165" s="182"/>
      <c r="Z165" s="172"/>
      <c r="AB165" s="175" t="str">
        <f t="shared" si="58"/>
        <v>Odilou Kossounou (A)</v>
      </c>
    </row>
    <row r="166" spans="1:28" s="113" customFormat="1" ht="10.5" customHeight="1" x14ac:dyDescent="0.2">
      <c r="A166" s="198">
        <v>12</v>
      </c>
      <c r="B166" s="199" t="s">
        <v>218</v>
      </c>
      <c r="C166" s="185" t="s">
        <v>1</v>
      </c>
      <c r="D166" s="186" t="s">
        <v>59</v>
      </c>
      <c r="E166" s="186" t="s">
        <v>59</v>
      </c>
      <c r="F166" s="187" t="s">
        <v>59</v>
      </c>
      <c r="G166" s="187" t="s">
        <v>59</v>
      </c>
      <c r="H166" s="187"/>
      <c r="I166" s="186"/>
      <c r="J166" s="181"/>
      <c r="K166" s="182"/>
      <c r="L166" s="182"/>
      <c r="M166" s="182"/>
      <c r="N166" s="182"/>
      <c r="O166" s="182"/>
      <c r="P166" s="182"/>
      <c r="Q166" s="182"/>
      <c r="R166" s="182"/>
      <c r="S166" s="182"/>
      <c r="T166" s="182"/>
      <c r="U166" s="182"/>
      <c r="V166" s="182"/>
      <c r="W166" s="182"/>
      <c r="X166" s="182"/>
      <c r="Y166" s="182"/>
      <c r="Z166" s="172"/>
      <c r="AB166" s="175" t="str">
        <f t="shared" ref="AB166" si="60">B166</f>
        <v>Edmond Tapsoba (A)</v>
      </c>
    </row>
    <row r="167" spans="1:28" s="113" customFormat="1" ht="10.5" customHeight="1" x14ac:dyDescent="0.2">
      <c r="A167" s="198">
        <v>13</v>
      </c>
      <c r="B167" s="199" t="s">
        <v>424</v>
      </c>
      <c r="C167" s="185" t="s">
        <v>1</v>
      </c>
      <c r="D167" s="186" t="s">
        <v>59</v>
      </c>
      <c r="E167" s="186" t="s">
        <v>59</v>
      </c>
      <c r="F167" s="187" t="s">
        <v>59</v>
      </c>
      <c r="G167" s="187" t="s">
        <v>59</v>
      </c>
      <c r="H167" s="187"/>
      <c r="I167" s="186"/>
      <c r="J167" s="181"/>
      <c r="K167" s="182"/>
      <c r="L167" s="182"/>
      <c r="M167" s="182"/>
      <c r="N167" s="182"/>
      <c r="O167" s="182"/>
      <c r="P167" s="182">
        <v>4</v>
      </c>
      <c r="Q167" s="182"/>
      <c r="R167" s="182"/>
      <c r="S167" s="182"/>
      <c r="T167" s="182"/>
      <c r="U167" s="182"/>
      <c r="V167" s="182"/>
      <c r="W167" s="182"/>
      <c r="X167" s="182"/>
      <c r="Y167" s="182"/>
      <c r="Z167" s="172"/>
      <c r="AB167" s="175" t="str">
        <f t="shared" si="58"/>
        <v>Arthur (A)</v>
      </c>
    </row>
    <row r="168" spans="1:28" s="113" customFormat="1" ht="10.5" customHeight="1" x14ac:dyDescent="0.2">
      <c r="A168" s="198">
        <v>20</v>
      </c>
      <c r="B168" s="199" t="s">
        <v>655</v>
      </c>
      <c r="C168" s="185" t="s">
        <v>1</v>
      </c>
      <c r="D168" s="186" t="s">
        <v>59</v>
      </c>
      <c r="E168" s="186" t="s">
        <v>59</v>
      </c>
      <c r="F168" s="187" t="s">
        <v>59</v>
      </c>
      <c r="G168" s="187" t="s">
        <v>59</v>
      </c>
      <c r="H168" s="187"/>
      <c r="I168" s="186"/>
      <c r="J168" s="181"/>
      <c r="K168" s="182"/>
      <c r="L168" s="182"/>
      <c r="M168" s="182"/>
      <c r="N168" s="182"/>
      <c r="O168" s="182"/>
      <c r="P168" s="182"/>
      <c r="Q168" s="182"/>
      <c r="R168" s="182"/>
      <c r="S168" s="182"/>
      <c r="T168" s="182"/>
      <c r="U168" s="182"/>
      <c r="V168" s="182"/>
      <c r="W168" s="182"/>
      <c r="X168" s="182"/>
      <c r="Y168" s="182"/>
      <c r="Z168" s="172"/>
      <c r="AB168" s="175" t="str">
        <f t="shared" si="58"/>
        <v>Alejandro Grimaldo (A)</v>
      </c>
    </row>
    <row r="169" spans="1:28" s="113" customFormat="1" ht="10.5" customHeight="1" x14ac:dyDescent="0.2">
      <c r="A169" s="198">
        <v>24</v>
      </c>
      <c r="B169" s="199" t="s">
        <v>256</v>
      </c>
      <c r="C169" s="185" t="s">
        <v>1</v>
      </c>
      <c r="D169" s="186" t="s">
        <v>59</v>
      </c>
      <c r="E169" s="186" t="s">
        <v>59</v>
      </c>
      <c r="F169" s="187" t="s">
        <v>59</v>
      </c>
      <c r="G169" s="187" t="s">
        <v>59</v>
      </c>
      <c r="H169" s="187"/>
      <c r="I169" s="186"/>
      <c r="J169" s="181"/>
      <c r="K169" s="182"/>
      <c r="L169" s="182"/>
      <c r="M169" s="182"/>
      <c r="N169" s="182"/>
      <c r="O169" s="182"/>
      <c r="P169" s="182"/>
      <c r="Q169" s="182"/>
      <c r="R169" s="182"/>
      <c r="S169" s="182"/>
      <c r="T169" s="182"/>
      <c r="U169" s="182"/>
      <c r="V169" s="182"/>
      <c r="W169" s="182"/>
      <c r="X169" s="182"/>
      <c r="Y169" s="182"/>
      <c r="Z169" s="172"/>
      <c r="AB169" s="175" t="str">
        <f t="shared" si="58"/>
        <v>Timothy Fosu-Mensah (A)</v>
      </c>
    </row>
    <row r="170" spans="1:28" s="113" customFormat="1" ht="10.5" customHeight="1" x14ac:dyDescent="0.2">
      <c r="A170" s="198">
        <v>30</v>
      </c>
      <c r="B170" s="199" t="s">
        <v>257</v>
      </c>
      <c r="C170" s="185" t="s">
        <v>1</v>
      </c>
      <c r="D170" s="186" t="s">
        <v>59</v>
      </c>
      <c r="E170" s="186" t="s">
        <v>59</v>
      </c>
      <c r="F170" s="187" t="s">
        <v>59</v>
      </c>
      <c r="G170" s="187" t="s">
        <v>59</v>
      </c>
      <c r="H170" s="187"/>
      <c r="I170" s="186"/>
      <c r="J170" s="181"/>
      <c r="K170" s="182"/>
      <c r="L170" s="182"/>
      <c r="M170" s="182"/>
      <c r="N170" s="182"/>
      <c r="O170" s="182"/>
      <c r="P170" s="182"/>
      <c r="Q170" s="182"/>
      <c r="R170" s="182"/>
      <c r="S170" s="182"/>
      <c r="T170" s="182"/>
      <c r="U170" s="182"/>
      <c r="V170" s="182"/>
      <c r="W170" s="182"/>
      <c r="X170" s="182"/>
      <c r="Y170" s="182"/>
      <c r="Z170" s="172"/>
      <c r="AB170" s="175" t="str">
        <f t="shared" si="58"/>
        <v>Jeremie Frimpong (A)</v>
      </c>
    </row>
    <row r="171" spans="1:28" s="113" customFormat="1" ht="10.5" customHeight="1" x14ac:dyDescent="0.2">
      <c r="A171" s="198">
        <v>31</v>
      </c>
      <c r="B171" s="199" t="s">
        <v>425</v>
      </c>
      <c r="C171" s="185" t="s">
        <v>1</v>
      </c>
      <c r="D171" s="186" t="s">
        <v>59</v>
      </c>
      <c r="E171" s="186" t="s">
        <v>59</v>
      </c>
      <c r="F171" s="187" t="s">
        <v>59</v>
      </c>
      <c r="G171" s="187" t="s">
        <v>59</v>
      </c>
      <c r="H171" s="187"/>
      <c r="I171" s="186"/>
      <c r="J171" s="181"/>
      <c r="K171" s="182"/>
      <c r="L171" s="182"/>
      <c r="M171" s="182"/>
      <c r="N171" s="182"/>
      <c r="O171" s="182"/>
      <c r="P171" s="182"/>
      <c r="Q171" s="182"/>
      <c r="R171" s="182"/>
      <c r="S171" s="182"/>
      <c r="T171" s="182"/>
      <c r="U171" s="182"/>
      <c r="V171" s="182"/>
      <c r="W171" s="182"/>
      <c r="X171" s="182"/>
      <c r="Y171" s="182"/>
      <c r="Z171" s="172"/>
      <c r="AB171" s="175" t="str">
        <f t="shared" ref="AB171" si="61">B171</f>
        <v>Madi Monamay (A)</v>
      </c>
    </row>
    <row r="172" spans="1:28" s="113" customFormat="1" ht="10.5" customHeight="1" x14ac:dyDescent="0.2">
      <c r="A172" s="198">
        <v>48</v>
      </c>
      <c r="B172" s="199" t="s">
        <v>558</v>
      </c>
      <c r="C172" s="185" t="s">
        <v>1</v>
      </c>
      <c r="D172" s="186" t="s">
        <v>59</v>
      </c>
      <c r="E172" s="186" t="s">
        <v>59</v>
      </c>
      <c r="F172" s="187" t="s">
        <v>59</v>
      </c>
      <c r="G172" s="187" t="s">
        <v>59</v>
      </c>
      <c r="H172" s="187"/>
      <c r="I172" s="186"/>
      <c r="J172" s="181"/>
      <c r="K172" s="182"/>
      <c r="L172" s="182"/>
      <c r="M172" s="182"/>
      <c r="N172" s="182"/>
      <c r="O172" s="182"/>
      <c r="P172" s="182"/>
      <c r="Q172" s="182"/>
      <c r="R172" s="182"/>
      <c r="S172" s="182"/>
      <c r="T172" s="182"/>
      <c r="U172" s="182"/>
      <c r="V172" s="182"/>
      <c r="W172" s="182"/>
      <c r="X172" s="182"/>
      <c r="Y172" s="182"/>
      <c r="Z172" s="172"/>
      <c r="AB172" s="175" t="str">
        <f t="shared" si="58"/>
        <v>Reno Münz</v>
      </c>
    </row>
    <row r="173" spans="1:28" s="113" customFormat="1" ht="10.5" customHeight="1" x14ac:dyDescent="0.2">
      <c r="A173" s="202">
        <v>7</v>
      </c>
      <c r="B173" s="203" t="s">
        <v>115</v>
      </c>
      <c r="C173" s="203" t="s">
        <v>2</v>
      </c>
      <c r="D173" s="191" t="s">
        <v>59</v>
      </c>
      <c r="E173" s="191" t="s">
        <v>59</v>
      </c>
      <c r="F173" s="192" t="s">
        <v>59</v>
      </c>
      <c r="G173" s="192" t="s">
        <v>59</v>
      </c>
      <c r="H173" s="192"/>
      <c r="I173" s="191"/>
      <c r="J173" s="181"/>
      <c r="K173" s="182"/>
      <c r="L173" s="182">
        <v>7</v>
      </c>
      <c r="M173" s="182">
        <v>6</v>
      </c>
      <c r="N173" s="182"/>
      <c r="O173" s="182"/>
      <c r="P173" s="182">
        <v>6</v>
      </c>
      <c r="Q173" s="182">
        <v>5</v>
      </c>
      <c r="R173" s="182">
        <v>5</v>
      </c>
      <c r="S173" s="182">
        <v>8</v>
      </c>
      <c r="T173" s="182"/>
      <c r="U173" s="182"/>
      <c r="V173" s="182"/>
      <c r="W173" s="182"/>
      <c r="X173" s="182"/>
      <c r="Y173" s="182"/>
      <c r="Z173" s="172"/>
      <c r="AB173" s="175" t="str">
        <f t="shared" ref="AB173" si="62">B173</f>
        <v>Jonas Hofmann</v>
      </c>
    </row>
    <row r="174" spans="1:28" s="113" customFormat="1" ht="10.5" customHeight="1" x14ac:dyDescent="0.2">
      <c r="A174" s="202">
        <v>8</v>
      </c>
      <c r="B174" s="203" t="s">
        <v>212</v>
      </c>
      <c r="C174" s="203" t="s">
        <v>2</v>
      </c>
      <c r="D174" s="191" t="s">
        <v>59</v>
      </c>
      <c r="E174" s="191" t="s">
        <v>59</v>
      </c>
      <c r="F174" s="192" t="s">
        <v>59</v>
      </c>
      <c r="G174" s="192" t="s">
        <v>59</v>
      </c>
      <c r="H174" s="192"/>
      <c r="I174" s="191"/>
      <c r="J174" s="181"/>
      <c r="K174" s="182"/>
      <c r="L174" s="182"/>
      <c r="M174" s="182"/>
      <c r="N174" s="182"/>
      <c r="O174" s="182"/>
      <c r="P174" s="182"/>
      <c r="Q174" s="182"/>
      <c r="R174" s="182"/>
      <c r="S174" s="182"/>
      <c r="T174" s="182"/>
      <c r="U174" s="182"/>
      <c r="V174" s="182"/>
      <c r="W174" s="182"/>
      <c r="X174" s="182"/>
      <c r="Y174" s="182"/>
      <c r="Z174" s="172"/>
      <c r="AB174" s="175" t="str">
        <f t="shared" si="58"/>
        <v>Robert Andrich</v>
      </c>
    </row>
    <row r="175" spans="1:28" s="113" customFormat="1" ht="10.5" customHeight="1" x14ac:dyDescent="0.2">
      <c r="A175" s="202">
        <v>10</v>
      </c>
      <c r="B175" s="203" t="s">
        <v>220</v>
      </c>
      <c r="C175" s="203" t="s">
        <v>2</v>
      </c>
      <c r="D175" s="191" t="s">
        <v>59</v>
      </c>
      <c r="E175" s="191" t="s">
        <v>59</v>
      </c>
      <c r="F175" s="192" t="s">
        <v>59</v>
      </c>
      <c r="G175" s="192" t="s">
        <v>59</v>
      </c>
      <c r="H175" s="192"/>
      <c r="I175" s="191"/>
      <c r="J175" s="181"/>
      <c r="K175" s="182"/>
      <c r="L175" s="182"/>
      <c r="M175" s="182"/>
      <c r="N175" s="182"/>
      <c r="O175" s="182"/>
      <c r="P175" s="182"/>
      <c r="Q175" s="182"/>
      <c r="R175" s="182">
        <v>6</v>
      </c>
      <c r="S175" s="182"/>
      <c r="T175" s="182"/>
      <c r="U175" s="182"/>
      <c r="V175" s="182"/>
      <c r="W175" s="182"/>
      <c r="X175" s="182"/>
      <c r="Y175" s="182"/>
      <c r="Z175" s="172"/>
      <c r="AB175" s="175" t="str">
        <f>B175</f>
        <v>Florian Wirtz</v>
      </c>
    </row>
    <row r="176" spans="1:28" s="113" customFormat="1" ht="10.5" customHeight="1" x14ac:dyDescent="0.2">
      <c r="A176" s="202">
        <v>18</v>
      </c>
      <c r="B176" s="203" t="s">
        <v>387</v>
      </c>
      <c r="C176" s="203" t="s">
        <v>2</v>
      </c>
      <c r="D176" s="191" t="s">
        <v>59</v>
      </c>
      <c r="E176" s="191" t="s">
        <v>59</v>
      </c>
      <c r="F176" s="192" t="s">
        <v>59</v>
      </c>
      <c r="G176" s="192" t="s">
        <v>59</v>
      </c>
      <c r="H176" s="192"/>
      <c r="I176" s="191"/>
      <c r="J176" s="181"/>
      <c r="K176" s="182"/>
      <c r="L176" s="182"/>
      <c r="M176" s="182"/>
      <c r="N176" s="182"/>
      <c r="O176" s="182"/>
      <c r="P176" s="182"/>
      <c r="Q176" s="182"/>
      <c r="R176" s="182"/>
      <c r="S176" s="182"/>
      <c r="T176" s="182"/>
      <c r="U176" s="182"/>
      <c r="V176" s="182"/>
      <c r="W176" s="182"/>
      <c r="X176" s="182"/>
      <c r="Y176" s="182"/>
      <c r="Z176" s="172"/>
      <c r="AB176" s="175" t="str">
        <f t="shared" si="58"/>
        <v>Noah Mbamba (A)</v>
      </c>
    </row>
    <row r="177" spans="1:28" s="113" customFormat="1" ht="10.5" customHeight="1" x14ac:dyDescent="0.2">
      <c r="A177" s="202">
        <v>25</v>
      </c>
      <c r="B177" s="203" t="s">
        <v>214</v>
      </c>
      <c r="C177" s="203" t="s">
        <v>2</v>
      </c>
      <c r="D177" s="191" t="s">
        <v>59</v>
      </c>
      <c r="E177" s="191" t="s">
        <v>59</v>
      </c>
      <c r="F177" s="192" t="s">
        <v>59</v>
      </c>
      <c r="G177" s="192" t="s">
        <v>59</v>
      </c>
      <c r="H177" s="192"/>
      <c r="I177" s="191"/>
      <c r="J177" s="181"/>
      <c r="K177" s="182"/>
      <c r="L177" s="182"/>
      <c r="M177" s="182"/>
      <c r="N177" s="182"/>
      <c r="O177" s="182">
        <v>5</v>
      </c>
      <c r="P177" s="182"/>
      <c r="Q177" s="182"/>
      <c r="R177" s="182"/>
      <c r="S177" s="182"/>
      <c r="T177" s="182"/>
      <c r="U177" s="182"/>
      <c r="V177" s="182"/>
      <c r="W177" s="182"/>
      <c r="X177" s="182"/>
      <c r="Y177" s="182"/>
      <c r="Z177" s="172"/>
      <c r="AB177" s="175" t="str">
        <f t="shared" ref="AB177" si="63">B177</f>
        <v>Exequiel Palacios (A)</v>
      </c>
    </row>
    <row r="178" spans="1:28" s="113" customFormat="1" ht="10.5" customHeight="1" x14ac:dyDescent="0.2">
      <c r="A178" s="202">
        <v>32</v>
      </c>
      <c r="B178" s="203" t="s">
        <v>426</v>
      </c>
      <c r="C178" s="203" t="s">
        <v>2</v>
      </c>
      <c r="D178" s="191" t="s">
        <v>59</v>
      </c>
      <c r="E178" s="191" t="s">
        <v>59</v>
      </c>
      <c r="F178" s="192" t="s">
        <v>59</v>
      </c>
      <c r="G178" s="192" t="s">
        <v>59</v>
      </c>
      <c r="H178" s="192"/>
      <c r="I178" s="191"/>
      <c r="J178" s="181"/>
      <c r="K178" s="182"/>
      <c r="L178" s="182"/>
      <c r="M178" s="182"/>
      <c r="N178" s="182"/>
      <c r="O178" s="182"/>
      <c r="P178" s="182"/>
      <c r="Q178" s="182"/>
      <c r="R178" s="182"/>
      <c r="S178" s="182"/>
      <c r="T178" s="182"/>
      <c r="U178" s="182"/>
      <c r="V178" s="182"/>
      <c r="W178" s="182"/>
      <c r="X178" s="182"/>
      <c r="Y178" s="182"/>
      <c r="Z178" s="172"/>
      <c r="AB178" s="175" t="str">
        <f t="shared" ref="AB178" si="64">B178</f>
        <v>Gustavo Puerta (A)</v>
      </c>
    </row>
    <row r="179" spans="1:28" s="113" customFormat="1" ht="10.5" customHeight="1" x14ac:dyDescent="0.2">
      <c r="A179" s="202">
        <v>34</v>
      </c>
      <c r="B179" s="203" t="s">
        <v>427</v>
      </c>
      <c r="C179" s="203" t="s">
        <v>2</v>
      </c>
      <c r="D179" s="191" t="s">
        <v>59</v>
      </c>
      <c r="E179" s="191" t="s">
        <v>59</v>
      </c>
      <c r="F179" s="192" t="s">
        <v>59</v>
      </c>
      <c r="G179" s="192" t="s">
        <v>59</v>
      </c>
      <c r="H179" s="192"/>
      <c r="I179" s="191"/>
      <c r="J179" s="181"/>
      <c r="K179" s="182"/>
      <c r="L179" s="182"/>
      <c r="M179" s="182"/>
      <c r="N179" s="182"/>
      <c r="O179" s="182"/>
      <c r="P179" s="182"/>
      <c r="Q179" s="182"/>
      <c r="R179" s="182"/>
      <c r="S179" s="182"/>
      <c r="T179" s="182"/>
      <c r="U179" s="182"/>
      <c r="V179" s="182"/>
      <c r="W179" s="182"/>
      <c r="X179" s="182"/>
      <c r="Y179" s="182"/>
      <c r="Z179" s="172"/>
      <c r="AB179" s="175" t="str">
        <f t="shared" ref="AB179:AB181" si="65">B179</f>
        <v>Granit Xhaka (A)</v>
      </c>
    </row>
    <row r="180" spans="1:28" s="113" customFormat="1" ht="10.5" customHeight="1" x14ac:dyDescent="0.2">
      <c r="A180" s="202">
        <v>47</v>
      </c>
      <c r="B180" s="203" t="s">
        <v>428</v>
      </c>
      <c r="C180" s="203" t="s">
        <v>2</v>
      </c>
      <c r="D180" s="191" t="s">
        <v>59</v>
      </c>
      <c r="E180" s="191" t="s">
        <v>59</v>
      </c>
      <c r="F180" s="192" t="s">
        <v>59</v>
      </c>
      <c r="G180" s="192" t="s">
        <v>59</v>
      </c>
      <c r="H180" s="192"/>
      <c r="I180" s="191"/>
      <c r="J180" s="181"/>
      <c r="K180" s="182"/>
      <c r="L180" s="182"/>
      <c r="M180" s="182"/>
      <c r="N180" s="182"/>
      <c r="O180" s="182"/>
      <c r="P180" s="182"/>
      <c r="Q180" s="182"/>
      <c r="R180" s="182"/>
      <c r="S180" s="182"/>
      <c r="T180" s="182"/>
      <c r="U180" s="182"/>
      <c r="V180" s="182"/>
      <c r="W180" s="182"/>
      <c r="X180" s="182"/>
      <c r="Y180" s="182"/>
      <c r="Z180" s="172"/>
      <c r="AB180" s="175" t="str">
        <f t="shared" si="65"/>
        <v>Ayman Aourir</v>
      </c>
    </row>
    <row r="181" spans="1:28" s="113" customFormat="1" ht="10.5" customHeight="1" x14ac:dyDescent="0.2">
      <c r="A181" s="201">
        <v>9</v>
      </c>
      <c r="B181" s="195" t="s">
        <v>661</v>
      </c>
      <c r="C181" s="195" t="s">
        <v>3</v>
      </c>
      <c r="D181" s="196" t="s">
        <v>59</v>
      </c>
      <c r="E181" s="196" t="s">
        <v>59</v>
      </c>
      <c r="F181" s="197" t="s">
        <v>59</v>
      </c>
      <c r="G181" s="197" t="s">
        <v>59</v>
      </c>
      <c r="H181" s="197"/>
      <c r="I181" s="196"/>
      <c r="J181" s="181"/>
      <c r="K181" s="182"/>
      <c r="L181" s="182"/>
      <c r="M181" s="182"/>
      <c r="N181" s="182"/>
      <c r="O181" s="182"/>
      <c r="P181" s="182"/>
      <c r="Q181" s="182"/>
      <c r="R181" s="182"/>
      <c r="S181" s="182"/>
      <c r="T181" s="182"/>
      <c r="U181" s="182"/>
      <c r="V181" s="182"/>
      <c r="W181" s="182"/>
      <c r="X181" s="182"/>
      <c r="Y181" s="182"/>
      <c r="Z181" s="172"/>
      <c r="AB181" s="175" t="str">
        <f t="shared" si="65"/>
        <v>Borja Iglesias (A)</v>
      </c>
    </row>
    <row r="182" spans="1:28" s="113" customFormat="1" ht="10.5" customHeight="1" x14ac:dyDescent="0.2">
      <c r="A182" s="201">
        <v>14</v>
      </c>
      <c r="B182" s="195" t="s">
        <v>247</v>
      </c>
      <c r="C182" s="195" t="s">
        <v>3</v>
      </c>
      <c r="D182" s="196" t="s">
        <v>59</v>
      </c>
      <c r="E182" s="196" t="s">
        <v>59</v>
      </c>
      <c r="F182" s="197" t="s">
        <v>59</v>
      </c>
      <c r="G182" s="197" t="s">
        <v>59</v>
      </c>
      <c r="H182" s="197"/>
      <c r="I182" s="196"/>
      <c r="J182" s="181"/>
      <c r="K182" s="182"/>
      <c r="L182" s="182">
        <v>9</v>
      </c>
      <c r="M182" s="182"/>
      <c r="N182" s="182"/>
      <c r="O182" s="182">
        <v>11</v>
      </c>
      <c r="P182" s="182"/>
      <c r="Q182" s="182"/>
      <c r="R182" s="182"/>
      <c r="S182" s="182"/>
      <c r="T182" s="182"/>
      <c r="U182" s="182"/>
      <c r="V182" s="182"/>
      <c r="W182" s="182"/>
      <c r="X182" s="182"/>
      <c r="Y182" s="182"/>
      <c r="Z182" s="172"/>
      <c r="AB182" s="175" t="str">
        <f t="shared" ref="AB182:AB187" si="66">B182</f>
        <v>Patrick Schick (A)</v>
      </c>
    </row>
    <row r="183" spans="1:28" s="113" customFormat="1" ht="10.5" customHeight="1" x14ac:dyDescent="0.2">
      <c r="A183" s="201">
        <v>19</v>
      </c>
      <c r="B183" s="195" t="s">
        <v>600</v>
      </c>
      <c r="C183" s="195" t="s">
        <v>3</v>
      </c>
      <c r="D183" s="196" t="s">
        <v>59</v>
      </c>
      <c r="E183" s="196" t="s">
        <v>59</v>
      </c>
      <c r="F183" s="197" t="s">
        <v>59</v>
      </c>
      <c r="G183" s="197" t="s">
        <v>59</v>
      </c>
      <c r="H183" s="197"/>
      <c r="I183" s="196"/>
      <c r="J183" s="181"/>
      <c r="K183" s="182"/>
      <c r="L183" s="182"/>
      <c r="M183" s="182"/>
      <c r="N183" s="182"/>
      <c r="O183" s="182"/>
      <c r="P183" s="182"/>
      <c r="Q183" s="182"/>
      <c r="R183" s="182"/>
      <c r="S183" s="182"/>
      <c r="T183" s="182"/>
      <c r="U183" s="182"/>
      <c r="V183" s="182"/>
      <c r="W183" s="182"/>
      <c r="X183" s="182"/>
      <c r="Y183" s="182"/>
      <c r="Z183" s="172"/>
      <c r="AB183" s="175" t="str">
        <f t="shared" si="66"/>
        <v>Nathan Tella (A)</v>
      </c>
    </row>
    <row r="184" spans="1:28" s="113" customFormat="1" ht="10.5" customHeight="1" x14ac:dyDescent="0.2">
      <c r="A184" s="201">
        <v>21</v>
      </c>
      <c r="B184" s="195" t="s">
        <v>308</v>
      </c>
      <c r="C184" s="195" t="s">
        <v>3</v>
      </c>
      <c r="D184" s="196" t="s">
        <v>59</v>
      </c>
      <c r="E184" s="196" t="s">
        <v>59</v>
      </c>
      <c r="F184" s="197" t="s">
        <v>59</v>
      </c>
      <c r="G184" s="197" t="s">
        <v>59</v>
      </c>
      <c r="H184" s="197"/>
      <c r="I184" s="196"/>
      <c r="J184" s="181"/>
      <c r="K184" s="182"/>
      <c r="L184" s="182"/>
      <c r="M184" s="182"/>
      <c r="N184" s="182">
        <v>9</v>
      </c>
      <c r="O184" s="182"/>
      <c r="P184" s="182"/>
      <c r="Q184" s="182"/>
      <c r="R184" s="182"/>
      <c r="S184" s="182"/>
      <c r="T184" s="182"/>
      <c r="U184" s="182"/>
      <c r="V184" s="182"/>
      <c r="W184" s="182"/>
      <c r="X184" s="182"/>
      <c r="Y184" s="182"/>
      <c r="Z184" s="172"/>
      <c r="AB184" s="175" t="str">
        <f>B184</f>
        <v>Amine Adli (A)</v>
      </c>
    </row>
    <row r="185" spans="1:28" s="113" customFormat="1" ht="10.5" customHeight="1" x14ac:dyDescent="0.2">
      <c r="A185" s="201">
        <v>22</v>
      </c>
      <c r="B185" s="195" t="s">
        <v>429</v>
      </c>
      <c r="C185" s="195" t="s">
        <v>3</v>
      </c>
      <c r="D185" s="196" t="s">
        <v>59</v>
      </c>
      <c r="E185" s="196" t="s">
        <v>59</v>
      </c>
      <c r="F185" s="197" t="s">
        <v>59</v>
      </c>
      <c r="G185" s="197" t="s">
        <v>59</v>
      </c>
      <c r="H185" s="197"/>
      <c r="I185" s="196"/>
      <c r="J185" s="181"/>
      <c r="K185" s="182">
        <v>9</v>
      </c>
      <c r="L185" s="182"/>
      <c r="M185" s="182"/>
      <c r="N185" s="182"/>
      <c r="O185" s="182"/>
      <c r="P185" s="182"/>
      <c r="Q185" s="182">
        <v>11</v>
      </c>
      <c r="R185" s="182"/>
      <c r="S185" s="182"/>
      <c r="T185" s="182"/>
      <c r="U185" s="182"/>
      <c r="V185" s="182"/>
      <c r="W185" s="182"/>
      <c r="X185" s="182"/>
      <c r="Y185" s="182"/>
      <c r="Z185" s="172"/>
      <c r="AB185" s="175" t="str">
        <f t="shared" si="66"/>
        <v>Victor Boniface (A)</v>
      </c>
    </row>
    <row r="186" spans="1:28" s="113" customFormat="1" ht="10.5" customHeight="1" x14ac:dyDescent="0.2">
      <c r="A186" s="201">
        <v>23</v>
      </c>
      <c r="B186" s="195" t="s">
        <v>575</v>
      </c>
      <c r="C186" s="195" t="s">
        <v>3</v>
      </c>
      <c r="D186" s="196" t="s">
        <v>59</v>
      </c>
      <c r="E186" s="196" t="s">
        <v>59</v>
      </c>
      <c r="F186" s="197" t="s">
        <v>59</v>
      </c>
      <c r="G186" s="197" t="s">
        <v>59</v>
      </c>
      <c r="H186" s="197"/>
      <c r="I186" s="196"/>
      <c r="J186" s="181"/>
      <c r="K186" s="182"/>
      <c r="L186" s="182"/>
      <c r="M186" s="182"/>
      <c r="N186" s="182"/>
      <c r="O186" s="182"/>
      <c r="P186" s="182"/>
      <c r="Q186" s="182"/>
      <c r="R186" s="182"/>
      <c r="S186" s="182"/>
      <c r="T186" s="182"/>
      <c r="U186" s="182"/>
      <c r="V186" s="182"/>
      <c r="W186" s="182"/>
      <c r="X186" s="182"/>
      <c r="Y186" s="182"/>
      <c r="Z186" s="172"/>
      <c r="AB186" s="175" t="str">
        <f t="shared" ref="AB186" si="67">B186</f>
        <v>Adam Hložek (A)</v>
      </c>
    </row>
    <row r="187" spans="1:28" s="113" customFormat="1" ht="10.5" customHeight="1" x14ac:dyDescent="0.2">
      <c r="A187" s="201">
        <v>40</v>
      </c>
      <c r="B187" s="195" t="s">
        <v>646</v>
      </c>
      <c r="C187" s="195" t="s">
        <v>3</v>
      </c>
      <c r="D187" s="196" t="s">
        <v>59</v>
      </c>
      <c r="E187" s="196" t="s">
        <v>59</v>
      </c>
      <c r="F187" s="197" t="s">
        <v>59</v>
      </c>
      <c r="G187" s="197" t="s">
        <v>59</v>
      </c>
      <c r="H187" s="197"/>
      <c r="I187" s="196"/>
      <c r="J187" s="181"/>
      <c r="K187" s="182"/>
      <c r="L187" s="182"/>
      <c r="M187" s="182"/>
      <c r="N187" s="182"/>
      <c r="O187" s="182"/>
      <c r="P187" s="182"/>
      <c r="Q187" s="182"/>
      <c r="R187" s="182"/>
      <c r="S187" s="182"/>
      <c r="T187" s="182"/>
      <c r="U187" s="182"/>
      <c r="V187" s="182"/>
      <c r="W187" s="182"/>
      <c r="X187" s="182"/>
      <c r="Y187" s="182"/>
      <c r="Z187" s="172"/>
      <c r="AB187" s="175" t="str">
        <f t="shared" si="66"/>
        <v>Francis Onyeka</v>
      </c>
    </row>
    <row r="188" spans="1:28" ht="15" customHeight="1" thickBot="1" x14ac:dyDescent="0.25">
      <c r="A188" s="220" t="s">
        <v>106</v>
      </c>
      <c r="B188" s="220"/>
      <c r="C188" s="220"/>
      <c r="D188" s="220"/>
      <c r="E188" s="220"/>
      <c r="F188" s="220"/>
      <c r="G188" s="220"/>
      <c r="H188" s="220"/>
      <c r="I188" s="220"/>
      <c r="J188" s="10"/>
      <c r="K188" s="176">
        <v>12</v>
      </c>
      <c r="L188" s="176">
        <v>12</v>
      </c>
      <c r="M188" s="176">
        <v>12</v>
      </c>
      <c r="N188" s="176">
        <v>12</v>
      </c>
      <c r="O188" s="176">
        <v>12</v>
      </c>
      <c r="P188" s="176">
        <v>12</v>
      </c>
      <c r="Q188" s="176">
        <v>12</v>
      </c>
      <c r="R188" s="176">
        <v>12</v>
      </c>
      <c r="S188" s="176">
        <v>12</v>
      </c>
      <c r="T188" s="176">
        <v>12</v>
      </c>
      <c r="U188" s="176">
        <v>12</v>
      </c>
      <c r="V188" s="176">
        <v>12</v>
      </c>
      <c r="W188" s="176">
        <v>12</v>
      </c>
      <c r="X188" s="176">
        <v>12</v>
      </c>
      <c r="Y188" s="176">
        <v>12</v>
      </c>
      <c r="Z188" s="217"/>
      <c r="AB188" s="175" t="str">
        <f>A188</f>
        <v>Eintracht Frankfurt</v>
      </c>
    </row>
    <row r="189" spans="1:28" ht="10.5" customHeight="1" x14ac:dyDescent="0.2">
      <c r="A189" s="177">
        <v>1</v>
      </c>
      <c r="B189" s="178" t="s">
        <v>190</v>
      </c>
      <c r="C189" s="178" t="s">
        <v>0</v>
      </c>
      <c r="D189" s="179" t="s">
        <v>59</v>
      </c>
      <c r="E189" s="179" t="s">
        <v>59</v>
      </c>
      <c r="F189" s="180" t="s">
        <v>59</v>
      </c>
      <c r="G189" s="180" t="s">
        <v>59</v>
      </c>
      <c r="H189" s="180"/>
      <c r="I189" s="179"/>
      <c r="J189" s="181"/>
      <c r="K189" s="182"/>
      <c r="L189" s="182"/>
      <c r="M189" s="182"/>
      <c r="N189" s="182"/>
      <c r="O189" s="182"/>
      <c r="P189" s="182"/>
      <c r="Q189" s="182"/>
      <c r="R189" s="182"/>
      <c r="S189" s="182"/>
      <c r="T189" s="182"/>
      <c r="U189" s="182"/>
      <c r="V189" s="182"/>
      <c r="W189" s="182"/>
      <c r="X189" s="182"/>
      <c r="Y189" s="182"/>
      <c r="AB189" s="175" t="str">
        <f t="shared" ref="AB189:AB195" si="68">B189</f>
        <v>Kevin Trapp</v>
      </c>
    </row>
    <row r="190" spans="1:28" ht="10.5" customHeight="1" x14ac:dyDescent="0.2">
      <c r="A190" s="177">
        <v>31</v>
      </c>
      <c r="B190" s="178" t="s">
        <v>239</v>
      </c>
      <c r="C190" s="178" t="s">
        <v>0</v>
      </c>
      <c r="D190" s="179" t="s">
        <v>59</v>
      </c>
      <c r="E190" s="179" t="s">
        <v>59</v>
      </c>
      <c r="F190" s="180" t="s">
        <v>59</v>
      </c>
      <c r="G190" s="180" t="s">
        <v>59</v>
      </c>
      <c r="H190" s="180"/>
      <c r="I190" s="179"/>
      <c r="J190" s="181"/>
      <c r="K190" s="182"/>
      <c r="L190" s="182"/>
      <c r="M190" s="182"/>
      <c r="N190" s="182"/>
      <c r="O190" s="182"/>
      <c r="P190" s="182"/>
      <c r="Q190" s="182"/>
      <c r="R190" s="182"/>
      <c r="S190" s="182"/>
      <c r="T190" s="182"/>
      <c r="U190" s="182"/>
      <c r="V190" s="182"/>
      <c r="W190" s="182"/>
      <c r="X190" s="182"/>
      <c r="Y190" s="182"/>
      <c r="AB190" s="175" t="str">
        <f t="shared" ref="AB190:AB193" si="69">B190</f>
        <v>Jens Grahl</v>
      </c>
    </row>
    <row r="191" spans="1:28" ht="10.5" customHeight="1" x14ac:dyDescent="0.2">
      <c r="A191" s="177">
        <v>38</v>
      </c>
      <c r="B191" s="178" t="s">
        <v>631</v>
      </c>
      <c r="C191" s="178" t="s">
        <v>0</v>
      </c>
      <c r="D191" s="179" t="s">
        <v>59</v>
      </c>
      <c r="E191" s="179" t="s">
        <v>59</v>
      </c>
      <c r="F191" s="180" t="s">
        <v>59</v>
      </c>
      <c r="G191" s="180" t="s">
        <v>59</v>
      </c>
      <c r="H191" s="180"/>
      <c r="I191" s="179"/>
      <c r="J191" s="181"/>
      <c r="K191" s="182"/>
      <c r="L191" s="182"/>
      <c r="M191" s="182"/>
      <c r="N191" s="182"/>
      <c r="O191" s="182"/>
      <c r="P191" s="182"/>
      <c r="Q191" s="182"/>
      <c r="R191" s="182"/>
      <c r="S191" s="182"/>
      <c r="T191" s="182"/>
      <c r="U191" s="182"/>
      <c r="V191" s="182"/>
      <c r="W191" s="182"/>
      <c r="X191" s="182"/>
      <c r="Y191" s="182"/>
      <c r="AB191" s="175" t="str">
        <f>B191</f>
        <v>Nils Ramming</v>
      </c>
    </row>
    <row r="192" spans="1:28" ht="10.5" customHeight="1" x14ac:dyDescent="0.2">
      <c r="A192" s="177">
        <v>40</v>
      </c>
      <c r="B192" s="178" t="s">
        <v>602</v>
      </c>
      <c r="C192" s="178" t="s">
        <v>0</v>
      </c>
      <c r="D192" s="179" t="s">
        <v>59</v>
      </c>
      <c r="E192" s="179" t="s">
        <v>59</v>
      </c>
      <c r="F192" s="180" t="s">
        <v>59</v>
      </c>
      <c r="G192" s="180" t="s">
        <v>59</v>
      </c>
      <c r="H192" s="180"/>
      <c r="I192" s="179"/>
      <c r="J192" s="181"/>
      <c r="K192" s="182"/>
      <c r="L192" s="182"/>
      <c r="M192" s="182"/>
      <c r="N192" s="182"/>
      <c r="O192" s="182"/>
      <c r="P192" s="182"/>
      <c r="Q192" s="182"/>
      <c r="R192" s="182"/>
      <c r="S192" s="182"/>
      <c r="T192" s="182"/>
      <c r="U192" s="182"/>
      <c r="V192" s="182"/>
      <c r="W192" s="182"/>
      <c r="X192" s="182"/>
      <c r="Y192" s="182"/>
      <c r="AB192" s="175" t="str">
        <f>B192</f>
        <v>Kauã Santos (A)</v>
      </c>
    </row>
    <row r="193" spans="1:28" ht="10.5" customHeight="1" x14ac:dyDescent="0.2">
      <c r="A193" s="177">
        <v>41</v>
      </c>
      <c r="B193" s="178" t="s">
        <v>430</v>
      </c>
      <c r="C193" s="178" t="s">
        <v>0</v>
      </c>
      <c r="D193" s="179" t="s">
        <v>59</v>
      </c>
      <c r="E193" s="179" t="s">
        <v>59</v>
      </c>
      <c r="F193" s="180" t="s">
        <v>59</v>
      </c>
      <c r="G193" s="180" t="s">
        <v>59</v>
      </c>
      <c r="H193" s="180"/>
      <c r="I193" s="179"/>
      <c r="J193" s="181"/>
      <c r="K193" s="182"/>
      <c r="L193" s="182"/>
      <c r="M193" s="182"/>
      <c r="N193" s="182"/>
      <c r="O193" s="182"/>
      <c r="P193" s="182"/>
      <c r="Q193" s="182"/>
      <c r="R193" s="182"/>
      <c r="S193" s="182"/>
      <c r="T193" s="182"/>
      <c r="U193" s="182"/>
      <c r="V193" s="182"/>
      <c r="W193" s="182"/>
      <c r="X193" s="182"/>
      <c r="Y193" s="182"/>
      <c r="AB193" s="175" t="str">
        <f t="shared" si="69"/>
        <v>Simon Simoni (A)</v>
      </c>
    </row>
    <row r="194" spans="1:28" ht="10.5" customHeight="1" x14ac:dyDescent="0.2">
      <c r="A194" s="177">
        <v>42</v>
      </c>
      <c r="B194" s="178" t="s">
        <v>604</v>
      </c>
      <c r="C194" s="178" t="s">
        <v>0</v>
      </c>
      <c r="D194" s="179" t="s">
        <v>59</v>
      </c>
      <c r="E194" s="179" t="s">
        <v>59</v>
      </c>
      <c r="F194" s="180" t="s">
        <v>59</v>
      </c>
      <c r="G194" s="180" t="s">
        <v>59</v>
      </c>
      <c r="H194" s="180"/>
      <c r="I194" s="179"/>
      <c r="J194" s="181"/>
      <c r="K194" s="182"/>
      <c r="L194" s="182"/>
      <c r="M194" s="182"/>
      <c r="N194" s="182"/>
      <c r="O194" s="182"/>
      <c r="P194" s="182"/>
      <c r="Q194" s="182"/>
      <c r="R194" s="182"/>
      <c r="S194" s="182"/>
      <c r="T194" s="182"/>
      <c r="U194" s="182"/>
      <c r="V194" s="182"/>
      <c r="W194" s="182"/>
      <c r="X194" s="182"/>
      <c r="Y194" s="182"/>
      <c r="AB194" s="175" t="str">
        <f t="shared" ref="AB194" si="70">B194</f>
        <v>Luke Grauer</v>
      </c>
    </row>
    <row r="195" spans="1:28" ht="10.5" customHeight="1" x14ac:dyDescent="0.2">
      <c r="A195" s="198">
        <v>3</v>
      </c>
      <c r="B195" s="199" t="s">
        <v>431</v>
      </c>
      <c r="C195" s="185" t="s">
        <v>1</v>
      </c>
      <c r="D195" s="186" t="s">
        <v>59</v>
      </c>
      <c r="E195" s="186" t="s">
        <v>59</v>
      </c>
      <c r="F195" s="187" t="s">
        <v>59</v>
      </c>
      <c r="G195" s="187" t="s">
        <v>59</v>
      </c>
      <c r="H195" s="187"/>
      <c r="I195" s="186"/>
      <c r="J195" s="181"/>
      <c r="K195" s="182"/>
      <c r="L195" s="182"/>
      <c r="M195" s="182"/>
      <c r="N195" s="182"/>
      <c r="O195" s="182"/>
      <c r="P195" s="182"/>
      <c r="Q195" s="182"/>
      <c r="R195" s="182"/>
      <c r="S195" s="182"/>
      <c r="T195" s="182"/>
      <c r="U195" s="182"/>
      <c r="V195" s="182"/>
      <c r="W195" s="182"/>
      <c r="X195" s="182"/>
      <c r="Y195" s="182"/>
      <c r="AB195" s="175" t="str">
        <f t="shared" si="68"/>
        <v>Willian Pacho (A)</v>
      </c>
    </row>
    <row r="196" spans="1:28" ht="10.5" customHeight="1" x14ac:dyDescent="0.2">
      <c r="A196" s="198">
        <v>4</v>
      </c>
      <c r="B196" s="199" t="s">
        <v>432</v>
      </c>
      <c r="C196" s="185" t="s">
        <v>1</v>
      </c>
      <c r="D196" s="186" t="s">
        <v>59</v>
      </c>
      <c r="E196" s="186" t="s">
        <v>59</v>
      </c>
      <c r="F196" s="187" t="s">
        <v>59</v>
      </c>
      <c r="G196" s="187" t="s">
        <v>59</v>
      </c>
      <c r="H196" s="187"/>
      <c r="I196" s="186"/>
      <c r="J196" s="181"/>
      <c r="K196" s="182"/>
      <c r="L196" s="182"/>
      <c r="M196" s="182"/>
      <c r="N196" s="182"/>
      <c r="O196" s="182"/>
      <c r="P196" s="182"/>
      <c r="Q196" s="182"/>
      <c r="R196" s="182"/>
      <c r="S196" s="182"/>
      <c r="T196" s="182"/>
      <c r="U196" s="182"/>
      <c r="V196" s="182"/>
      <c r="W196" s="182"/>
      <c r="X196" s="182"/>
      <c r="Y196" s="182"/>
      <c r="AB196" s="175" t="str">
        <f t="shared" ref="AB196:AB205" si="71">B196</f>
        <v>Robin Koch</v>
      </c>
    </row>
    <row r="197" spans="1:28" ht="10.5" customHeight="1" x14ac:dyDescent="0.2">
      <c r="A197" s="198">
        <v>5</v>
      </c>
      <c r="B197" s="199" t="s">
        <v>576</v>
      </c>
      <c r="C197" s="185" t="s">
        <v>1</v>
      </c>
      <c r="D197" s="186" t="s">
        <v>59</v>
      </c>
      <c r="E197" s="186" t="s">
        <v>59</v>
      </c>
      <c r="F197" s="187" t="s">
        <v>59</v>
      </c>
      <c r="G197" s="187" t="s">
        <v>59</v>
      </c>
      <c r="H197" s="187"/>
      <c r="I197" s="186"/>
      <c r="J197" s="181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  <c r="X197" s="182"/>
      <c r="Y197" s="182"/>
      <c r="AB197" s="175" t="str">
        <f t="shared" si="71"/>
        <v>Hrvoje Smolčić (A)</v>
      </c>
    </row>
    <row r="198" spans="1:28" ht="10.5" customHeight="1" x14ac:dyDescent="0.2">
      <c r="A198" s="198">
        <v>20</v>
      </c>
      <c r="B198" s="199" t="s">
        <v>66</v>
      </c>
      <c r="C198" s="185" t="s">
        <v>1</v>
      </c>
      <c r="D198" s="186" t="s">
        <v>59</v>
      </c>
      <c r="E198" s="186" t="s">
        <v>59</v>
      </c>
      <c r="F198" s="187" t="s">
        <v>59</v>
      </c>
      <c r="G198" s="187" t="s">
        <v>59</v>
      </c>
      <c r="H198" s="187"/>
      <c r="I198" s="186"/>
      <c r="J198" s="181"/>
      <c r="K198" s="182"/>
      <c r="L198" s="182"/>
      <c r="M198" s="182"/>
      <c r="N198" s="182"/>
      <c r="O198" s="182"/>
      <c r="P198" s="182"/>
      <c r="Q198" s="182"/>
      <c r="R198" s="182"/>
      <c r="S198" s="182"/>
      <c r="T198" s="182"/>
      <c r="U198" s="182"/>
      <c r="V198" s="182"/>
      <c r="W198" s="182"/>
      <c r="X198" s="182"/>
      <c r="Y198" s="182"/>
      <c r="AB198" s="175" t="str">
        <f t="shared" si="71"/>
        <v>Makoto Hasebe (A)</v>
      </c>
    </row>
    <row r="199" spans="1:28" ht="10.5" customHeight="1" x14ac:dyDescent="0.2">
      <c r="A199" s="198">
        <v>24</v>
      </c>
      <c r="B199" s="199" t="s">
        <v>579</v>
      </c>
      <c r="C199" s="185" t="s">
        <v>1</v>
      </c>
      <c r="D199" s="186" t="s">
        <v>59</v>
      </c>
      <c r="E199" s="186" t="s">
        <v>59</v>
      </c>
      <c r="F199" s="187" t="s">
        <v>59</v>
      </c>
      <c r="G199" s="187" t="s">
        <v>59</v>
      </c>
      <c r="H199" s="187"/>
      <c r="I199" s="186"/>
      <c r="J199" s="181"/>
      <c r="K199" s="182"/>
      <c r="L199" s="182"/>
      <c r="M199" s="182"/>
      <c r="N199" s="182"/>
      <c r="O199" s="182"/>
      <c r="P199" s="182"/>
      <c r="Q199" s="182"/>
      <c r="R199" s="182"/>
      <c r="S199" s="182"/>
      <c r="T199" s="182"/>
      <c r="U199" s="182"/>
      <c r="V199" s="182"/>
      <c r="W199" s="182"/>
      <c r="X199" s="182"/>
      <c r="Y199" s="182"/>
      <c r="AB199" s="175" t="str">
        <f t="shared" si="71"/>
        <v>Aurélio Buta (A)</v>
      </c>
    </row>
    <row r="200" spans="1:28" ht="10.5" customHeight="1" x14ac:dyDescent="0.2">
      <c r="A200" s="198">
        <v>29</v>
      </c>
      <c r="B200" s="199" t="s">
        <v>605</v>
      </c>
      <c r="C200" s="185" t="s">
        <v>1</v>
      </c>
      <c r="D200" s="186" t="s">
        <v>59</v>
      </c>
      <c r="E200" s="186" t="s">
        <v>59</v>
      </c>
      <c r="F200" s="187" t="s">
        <v>59</v>
      </c>
      <c r="G200" s="187" t="s">
        <v>59</v>
      </c>
      <c r="H200" s="187"/>
      <c r="I200" s="186"/>
      <c r="J200" s="181"/>
      <c r="K200" s="182"/>
      <c r="L200" s="182"/>
      <c r="M200" s="182"/>
      <c r="N200" s="182"/>
      <c r="O200" s="182"/>
      <c r="P200" s="182"/>
      <c r="Q200" s="182"/>
      <c r="R200" s="182"/>
      <c r="S200" s="182"/>
      <c r="T200" s="182"/>
      <c r="U200" s="182"/>
      <c r="V200" s="182"/>
      <c r="W200" s="182"/>
      <c r="X200" s="182"/>
      <c r="Y200" s="182"/>
      <c r="AB200" s="175" t="str">
        <f>B200</f>
        <v>Niels Nkounkou (A)</v>
      </c>
    </row>
    <row r="201" spans="1:28" ht="10.5" customHeight="1" x14ac:dyDescent="0.2">
      <c r="A201" s="198">
        <v>31</v>
      </c>
      <c r="B201" s="199" t="s">
        <v>397</v>
      </c>
      <c r="C201" s="185" t="s">
        <v>1</v>
      </c>
      <c r="D201" s="186" t="s">
        <v>59</v>
      </c>
      <c r="E201" s="186" t="s">
        <v>59</v>
      </c>
      <c r="F201" s="187" t="s">
        <v>59</v>
      </c>
      <c r="G201" s="187" t="s">
        <v>59</v>
      </c>
      <c r="H201" s="187"/>
      <c r="I201" s="186"/>
      <c r="J201" s="181"/>
      <c r="K201" s="182"/>
      <c r="L201" s="182"/>
      <c r="M201" s="182"/>
      <c r="N201" s="182"/>
      <c r="O201" s="182"/>
      <c r="P201" s="182"/>
      <c r="Q201" s="182"/>
      <c r="R201" s="182"/>
      <c r="S201" s="182"/>
      <c r="T201" s="182"/>
      <c r="U201" s="182"/>
      <c r="V201" s="182"/>
      <c r="W201" s="182"/>
      <c r="X201" s="182"/>
      <c r="Y201" s="182"/>
      <c r="AB201" s="175" t="str">
        <f>B201</f>
        <v>Philipp Max</v>
      </c>
    </row>
    <row r="202" spans="1:28" ht="10.5" customHeight="1" x14ac:dyDescent="0.2">
      <c r="A202" s="198">
        <v>34</v>
      </c>
      <c r="B202" s="199" t="s">
        <v>606</v>
      </c>
      <c r="C202" s="185" t="s">
        <v>1</v>
      </c>
      <c r="D202" s="186" t="s">
        <v>59</v>
      </c>
      <c r="E202" s="186" t="s">
        <v>59</v>
      </c>
      <c r="F202" s="187" t="s">
        <v>59</v>
      </c>
      <c r="G202" s="187" t="s">
        <v>59</v>
      </c>
      <c r="H202" s="187"/>
      <c r="I202" s="186"/>
      <c r="J202" s="181"/>
      <c r="K202" s="182"/>
      <c r="L202" s="182"/>
      <c r="M202" s="182"/>
      <c r="N202" s="182"/>
      <c r="O202" s="182"/>
      <c r="P202" s="182"/>
      <c r="Q202" s="182"/>
      <c r="R202" s="182"/>
      <c r="S202" s="182"/>
      <c r="T202" s="182"/>
      <c r="U202" s="182"/>
      <c r="V202" s="182"/>
      <c r="W202" s="182"/>
      <c r="X202" s="182"/>
      <c r="Y202" s="182"/>
      <c r="AB202" s="175" t="str">
        <f>B202</f>
        <v>Nnamdi Collins</v>
      </c>
    </row>
    <row r="203" spans="1:28" ht="10.5" customHeight="1" x14ac:dyDescent="0.2">
      <c r="A203" s="198">
        <v>35</v>
      </c>
      <c r="B203" s="199" t="s">
        <v>233</v>
      </c>
      <c r="C203" s="185" t="s">
        <v>1</v>
      </c>
      <c r="D203" s="186" t="s">
        <v>59</v>
      </c>
      <c r="E203" s="186" t="s">
        <v>59</v>
      </c>
      <c r="F203" s="187" t="s">
        <v>59</v>
      </c>
      <c r="G203" s="187" t="s">
        <v>59</v>
      </c>
      <c r="H203" s="187"/>
      <c r="I203" s="186"/>
      <c r="J203" s="181"/>
      <c r="K203" s="182"/>
      <c r="L203" s="182"/>
      <c r="M203" s="182"/>
      <c r="N203" s="182"/>
      <c r="O203" s="182"/>
      <c r="P203" s="182"/>
      <c r="Q203" s="182"/>
      <c r="R203" s="182"/>
      <c r="S203" s="182"/>
      <c r="T203" s="182"/>
      <c r="U203" s="182"/>
      <c r="V203" s="182"/>
      <c r="W203" s="182"/>
      <c r="X203" s="182"/>
      <c r="Y203" s="182"/>
      <c r="AB203" s="175" t="str">
        <f t="shared" si="71"/>
        <v>Tuta (A)</v>
      </c>
    </row>
    <row r="204" spans="1:28" ht="10.5" customHeight="1" x14ac:dyDescent="0.2">
      <c r="A204" s="198">
        <v>46</v>
      </c>
      <c r="B204" s="199" t="s">
        <v>433</v>
      </c>
      <c r="C204" s="185" t="s">
        <v>1</v>
      </c>
      <c r="D204" s="186" t="s">
        <v>59</v>
      </c>
      <c r="E204" s="186" t="s">
        <v>59</v>
      </c>
      <c r="F204" s="187" t="s">
        <v>59</v>
      </c>
      <c r="G204" s="187" t="s">
        <v>59</v>
      </c>
      <c r="H204" s="187"/>
      <c r="I204" s="186"/>
      <c r="J204" s="181"/>
      <c r="K204" s="182"/>
      <c r="L204" s="182"/>
      <c r="M204" s="182"/>
      <c r="N204" s="182"/>
      <c r="O204" s="182"/>
      <c r="P204" s="182"/>
      <c r="Q204" s="182"/>
      <c r="R204" s="182"/>
      <c r="S204" s="182"/>
      <c r="T204" s="182"/>
      <c r="U204" s="182"/>
      <c r="V204" s="182"/>
      <c r="W204" s="182"/>
      <c r="X204" s="182"/>
      <c r="Y204" s="182"/>
      <c r="AB204" s="175" t="str">
        <f t="shared" ref="AB204" si="72">B204</f>
        <v>Dario Gebuhr</v>
      </c>
    </row>
    <row r="205" spans="1:28" ht="10.5" customHeight="1" x14ac:dyDescent="0.2">
      <c r="A205" s="198">
        <v>47</v>
      </c>
      <c r="B205" s="199" t="s">
        <v>434</v>
      </c>
      <c r="C205" s="185" t="s">
        <v>1</v>
      </c>
      <c r="D205" s="186" t="s">
        <v>59</v>
      </c>
      <c r="E205" s="186" t="s">
        <v>59</v>
      </c>
      <c r="F205" s="187" t="s">
        <v>59</v>
      </c>
      <c r="G205" s="187" t="s">
        <v>59</v>
      </c>
      <c r="H205" s="187"/>
      <c r="I205" s="186"/>
      <c r="J205" s="181"/>
      <c r="K205" s="182"/>
      <c r="L205" s="182"/>
      <c r="M205" s="182"/>
      <c r="N205" s="182"/>
      <c r="O205" s="182"/>
      <c r="P205" s="182"/>
      <c r="Q205" s="182"/>
      <c r="R205" s="182"/>
      <c r="S205" s="182"/>
      <c r="T205" s="182"/>
      <c r="U205" s="182"/>
      <c r="V205" s="182"/>
      <c r="W205" s="182"/>
      <c r="X205" s="182"/>
      <c r="Y205" s="182"/>
      <c r="AB205" s="175" t="str">
        <f t="shared" si="71"/>
        <v>Elias Baum</v>
      </c>
    </row>
    <row r="206" spans="1:28" ht="10.5" customHeight="1" x14ac:dyDescent="0.2">
      <c r="A206" s="200">
        <v>8</v>
      </c>
      <c r="B206" s="190" t="s">
        <v>601</v>
      </c>
      <c r="C206" s="190" t="s">
        <v>2</v>
      </c>
      <c r="D206" s="191" t="s">
        <v>59</v>
      </c>
      <c r="E206" s="191" t="s">
        <v>59</v>
      </c>
      <c r="F206" s="192" t="s">
        <v>59</v>
      </c>
      <c r="G206" s="192" t="s">
        <v>59</v>
      </c>
      <c r="H206" s="192"/>
      <c r="I206" s="191"/>
      <c r="J206" s="181"/>
      <c r="K206" s="182"/>
      <c r="L206" s="182"/>
      <c r="M206" s="182"/>
      <c r="N206" s="182"/>
      <c r="O206" s="182"/>
      <c r="P206" s="182"/>
      <c r="Q206" s="182"/>
      <c r="R206" s="182"/>
      <c r="S206" s="182"/>
      <c r="T206" s="182"/>
      <c r="U206" s="182"/>
      <c r="V206" s="182"/>
      <c r="W206" s="182"/>
      <c r="X206" s="182"/>
      <c r="Y206" s="182"/>
      <c r="AB206" s="175" t="str">
        <f>B206</f>
        <v>Farès Chaibi (A)</v>
      </c>
    </row>
    <row r="207" spans="1:28" ht="10.5" customHeight="1" x14ac:dyDescent="0.2">
      <c r="A207" s="200">
        <v>15</v>
      </c>
      <c r="B207" s="190" t="s">
        <v>204</v>
      </c>
      <c r="C207" s="190" t="s">
        <v>2</v>
      </c>
      <c r="D207" s="191" t="s">
        <v>59</v>
      </c>
      <c r="E207" s="191" t="s">
        <v>59</v>
      </c>
      <c r="F207" s="192" t="s">
        <v>59</v>
      </c>
      <c r="G207" s="192" t="s">
        <v>59</v>
      </c>
      <c r="H207" s="192"/>
      <c r="I207" s="191"/>
      <c r="J207" s="181"/>
      <c r="K207" s="182"/>
      <c r="L207" s="182"/>
      <c r="M207" s="182"/>
      <c r="N207" s="182"/>
      <c r="O207" s="182"/>
      <c r="P207" s="182"/>
      <c r="Q207" s="182"/>
      <c r="R207" s="182"/>
      <c r="S207" s="182"/>
      <c r="T207" s="182"/>
      <c r="U207" s="182"/>
      <c r="V207" s="182"/>
      <c r="W207" s="182"/>
      <c r="X207" s="182"/>
      <c r="Y207" s="182"/>
      <c r="AB207" s="175" t="str">
        <f t="shared" ref="AB207:AB210" si="73">B207</f>
        <v>Ellyes Skhiri (A)</v>
      </c>
    </row>
    <row r="208" spans="1:28" ht="10.5" customHeight="1" x14ac:dyDescent="0.2">
      <c r="A208" s="200">
        <v>16</v>
      </c>
      <c r="B208" s="190" t="s">
        <v>435</v>
      </c>
      <c r="C208" s="190" t="s">
        <v>2</v>
      </c>
      <c r="D208" s="191" t="s">
        <v>59</v>
      </c>
      <c r="E208" s="191" t="s">
        <v>59</v>
      </c>
      <c r="F208" s="192" t="s">
        <v>59</v>
      </c>
      <c r="G208" s="192" t="s">
        <v>59</v>
      </c>
      <c r="H208" s="192"/>
      <c r="I208" s="191"/>
      <c r="J208" s="181"/>
      <c r="K208" s="182"/>
      <c r="L208" s="182"/>
      <c r="M208" s="182"/>
      <c r="N208" s="182"/>
      <c r="O208" s="182"/>
      <c r="P208" s="182"/>
      <c r="Q208" s="182"/>
      <c r="R208" s="182"/>
      <c r="S208" s="182"/>
      <c r="T208" s="182"/>
      <c r="U208" s="182"/>
      <c r="V208" s="182"/>
      <c r="W208" s="182"/>
      <c r="X208" s="182"/>
      <c r="Y208" s="182"/>
      <c r="AB208" s="175" t="str">
        <f t="shared" si="73"/>
        <v>Hugo Larsson (A)</v>
      </c>
    </row>
    <row r="209" spans="1:28" ht="10.5" customHeight="1" x14ac:dyDescent="0.2">
      <c r="A209" s="200">
        <v>17</v>
      </c>
      <c r="B209" s="190" t="s">
        <v>111</v>
      </c>
      <c r="C209" s="190" t="s">
        <v>2</v>
      </c>
      <c r="D209" s="191" t="s">
        <v>59</v>
      </c>
      <c r="E209" s="191" t="s">
        <v>59</v>
      </c>
      <c r="F209" s="192" t="s">
        <v>59</v>
      </c>
      <c r="G209" s="192" t="s">
        <v>59</v>
      </c>
      <c r="H209" s="192"/>
      <c r="I209" s="191"/>
      <c r="J209" s="181"/>
      <c r="K209" s="182"/>
      <c r="L209" s="182"/>
      <c r="M209" s="182"/>
      <c r="N209" s="182"/>
      <c r="O209" s="182"/>
      <c r="P209" s="182"/>
      <c r="Q209" s="182"/>
      <c r="R209" s="182"/>
      <c r="S209" s="182"/>
      <c r="T209" s="182"/>
      <c r="U209" s="182"/>
      <c r="V209" s="182"/>
      <c r="W209" s="182"/>
      <c r="X209" s="182"/>
      <c r="Y209" s="182"/>
      <c r="AB209" s="175" t="str">
        <f t="shared" si="73"/>
        <v>Sebastian Rode</v>
      </c>
    </row>
    <row r="210" spans="1:28" ht="10.5" customHeight="1" x14ac:dyDescent="0.2">
      <c r="A210" s="200">
        <v>22</v>
      </c>
      <c r="B210" s="190" t="s">
        <v>98</v>
      </c>
      <c r="C210" s="190" t="s">
        <v>2</v>
      </c>
      <c r="D210" s="191" t="s">
        <v>59</v>
      </c>
      <c r="E210" s="191" t="s">
        <v>59</v>
      </c>
      <c r="F210" s="192" t="s">
        <v>59</v>
      </c>
      <c r="G210" s="192" t="s">
        <v>59</v>
      </c>
      <c r="H210" s="192"/>
      <c r="I210" s="191"/>
      <c r="J210" s="181"/>
      <c r="K210" s="182"/>
      <c r="L210" s="182"/>
      <c r="M210" s="182"/>
      <c r="N210" s="182"/>
      <c r="O210" s="182"/>
      <c r="P210" s="182"/>
      <c r="Q210" s="182"/>
      <c r="R210" s="182"/>
      <c r="S210" s="182"/>
      <c r="T210" s="182"/>
      <c r="U210" s="182"/>
      <c r="V210" s="182"/>
      <c r="W210" s="182"/>
      <c r="X210" s="182"/>
      <c r="Y210" s="182"/>
      <c r="AB210" s="175" t="str">
        <f t="shared" si="73"/>
        <v>Timothy Chandler</v>
      </c>
    </row>
    <row r="211" spans="1:28" ht="10.5" customHeight="1" x14ac:dyDescent="0.2">
      <c r="A211" s="200">
        <v>25</v>
      </c>
      <c r="B211" s="190" t="s">
        <v>639</v>
      </c>
      <c r="C211" s="190" t="s">
        <v>2</v>
      </c>
      <c r="D211" s="191" t="s">
        <v>59</v>
      </c>
      <c r="E211" s="191" t="s">
        <v>59</v>
      </c>
      <c r="F211" s="192" t="s">
        <v>59</v>
      </c>
      <c r="G211" s="192" t="s">
        <v>59</v>
      </c>
      <c r="H211" s="192"/>
      <c r="I211" s="191"/>
      <c r="J211" s="181"/>
      <c r="K211" s="182"/>
      <c r="L211" s="182"/>
      <c r="M211" s="182"/>
      <c r="N211" s="182"/>
      <c r="O211" s="182"/>
      <c r="P211" s="182"/>
      <c r="Q211" s="182"/>
      <c r="R211" s="182"/>
      <c r="S211" s="182"/>
      <c r="T211" s="182"/>
      <c r="U211" s="182"/>
      <c r="V211" s="182"/>
      <c r="W211" s="182"/>
      <c r="X211" s="182"/>
      <c r="Y211" s="182"/>
      <c r="AB211" s="175" t="str">
        <f>B211</f>
        <v>Donny van de Beek (A)</v>
      </c>
    </row>
    <row r="212" spans="1:28" ht="10.5" customHeight="1" x14ac:dyDescent="0.2">
      <c r="A212" s="200">
        <v>26</v>
      </c>
      <c r="B212" s="190" t="s">
        <v>375</v>
      </c>
      <c r="C212" s="190" t="s">
        <v>2</v>
      </c>
      <c r="D212" s="191" t="s">
        <v>59</v>
      </c>
      <c r="E212" s="191" t="s">
        <v>59</v>
      </c>
      <c r="F212" s="192" t="s">
        <v>59</v>
      </c>
      <c r="G212" s="192" t="s">
        <v>59</v>
      </c>
      <c r="H212" s="192"/>
      <c r="I212" s="191"/>
      <c r="J212" s="181"/>
      <c r="K212" s="182"/>
      <c r="L212" s="182"/>
      <c r="M212" s="182"/>
      <c r="N212" s="182"/>
      <c r="O212" s="182"/>
      <c r="P212" s="182"/>
      <c r="Q212" s="182"/>
      <c r="R212" s="182"/>
      <c r="S212" s="182"/>
      <c r="T212" s="182"/>
      <c r="U212" s="182"/>
      <c r="V212" s="182"/>
      <c r="W212" s="182"/>
      <c r="X212" s="182"/>
      <c r="Y212" s="182"/>
      <c r="AB212" s="175" t="str">
        <f>B212</f>
        <v>Eric Junior Dina Ebimbe (A)</v>
      </c>
    </row>
    <row r="213" spans="1:28" ht="10.5" customHeight="1" x14ac:dyDescent="0.2">
      <c r="A213" s="200">
        <v>27</v>
      </c>
      <c r="B213" s="190" t="s">
        <v>346</v>
      </c>
      <c r="C213" s="190" t="s">
        <v>2</v>
      </c>
      <c r="D213" s="191" t="s">
        <v>59</v>
      </c>
      <c r="E213" s="191" t="s">
        <v>59</v>
      </c>
      <c r="F213" s="192" t="s">
        <v>59</v>
      </c>
      <c r="G213" s="192" t="s">
        <v>59</v>
      </c>
      <c r="H213" s="192"/>
      <c r="I213" s="191"/>
      <c r="J213" s="181"/>
      <c r="K213" s="182"/>
      <c r="L213" s="182"/>
      <c r="M213" s="182"/>
      <c r="N213" s="182"/>
      <c r="O213" s="182"/>
      <c r="P213" s="182"/>
      <c r="Q213" s="182"/>
      <c r="R213" s="182"/>
      <c r="S213" s="182"/>
      <c r="T213" s="182"/>
      <c r="U213" s="182"/>
      <c r="V213" s="182"/>
      <c r="W213" s="182"/>
      <c r="X213" s="182"/>
      <c r="Y213" s="182"/>
      <c r="AB213" s="175" t="str">
        <f t="shared" ref="AB213" si="74">B213</f>
        <v>Mario Götze</v>
      </c>
    </row>
    <row r="214" spans="1:28" ht="10.5" customHeight="1" x14ac:dyDescent="0.2">
      <c r="A214" s="200">
        <v>37</v>
      </c>
      <c r="B214" s="190" t="s">
        <v>607</v>
      </c>
      <c r="C214" s="190" t="s">
        <v>2</v>
      </c>
      <c r="D214" s="191" t="s">
        <v>59</v>
      </c>
      <c r="E214" s="191" t="s">
        <v>59</v>
      </c>
      <c r="F214" s="192" t="s">
        <v>59</v>
      </c>
      <c r="G214" s="192" t="s">
        <v>59</v>
      </c>
      <c r="H214" s="192"/>
      <c r="I214" s="191"/>
      <c r="J214" s="181"/>
      <c r="K214" s="182"/>
      <c r="L214" s="182"/>
      <c r="M214" s="182"/>
      <c r="N214" s="182"/>
      <c r="O214" s="182"/>
      <c r="P214" s="182"/>
      <c r="Q214" s="182"/>
      <c r="R214" s="182"/>
      <c r="S214" s="182"/>
      <c r="T214" s="182"/>
      <c r="U214" s="182"/>
      <c r="V214" s="182"/>
      <c r="W214" s="182"/>
      <c r="X214" s="182"/>
      <c r="Y214" s="182"/>
      <c r="AB214" s="175" t="str">
        <f>B214</f>
        <v>Sidney Raebiger</v>
      </c>
    </row>
    <row r="215" spans="1:28" ht="10.5" customHeight="1" x14ac:dyDescent="0.2">
      <c r="A215" s="200">
        <v>44</v>
      </c>
      <c r="B215" s="190" t="s">
        <v>436</v>
      </c>
      <c r="C215" s="190" t="s">
        <v>2</v>
      </c>
      <c r="D215" s="191" t="s">
        <v>59</v>
      </c>
      <c r="E215" s="191" t="s">
        <v>59</v>
      </c>
      <c r="F215" s="192" t="s">
        <v>59</v>
      </c>
      <c r="G215" s="192" t="s">
        <v>59</v>
      </c>
      <c r="H215" s="192"/>
      <c r="I215" s="191"/>
      <c r="J215" s="181"/>
      <c r="K215" s="182"/>
      <c r="L215" s="182"/>
      <c r="M215" s="182"/>
      <c r="N215" s="182"/>
      <c r="O215" s="182"/>
      <c r="P215" s="182"/>
      <c r="Q215" s="182"/>
      <c r="R215" s="182"/>
      <c r="S215" s="182"/>
      <c r="T215" s="182"/>
      <c r="U215" s="182"/>
      <c r="V215" s="182"/>
      <c r="W215" s="182"/>
      <c r="X215" s="182"/>
      <c r="Y215" s="182"/>
      <c r="AB215" s="175" t="str">
        <f>B215</f>
        <v>Davis Bautista (A)</v>
      </c>
    </row>
    <row r="216" spans="1:28" ht="10.5" customHeight="1" x14ac:dyDescent="0.2">
      <c r="A216" s="200">
        <v>45</v>
      </c>
      <c r="B216" s="190" t="s">
        <v>347</v>
      </c>
      <c r="C216" s="190" t="s">
        <v>2</v>
      </c>
      <c r="D216" s="191" t="s">
        <v>59</v>
      </c>
      <c r="E216" s="191" t="s">
        <v>59</v>
      </c>
      <c r="F216" s="192" t="s">
        <v>59</v>
      </c>
      <c r="G216" s="192" t="s">
        <v>59</v>
      </c>
      <c r="H216" s="192"/>
      <c r="I216" s="191"/>
      <c r="J216" s="181"/>
      <c r="K216" s="182"/>
      <c r="L216" s="182"/>
      <c r="M216" s="182"/>
      <c r="N216" s="182"/>
      <c r="O216" s="182"/>
      <c r="P216" s="182"/>
      <c r="Q216" s="182"/>
      <c r="R216" s="182"/>
      <c r="S216" s="182"/>
      <c r="T216" s="182"/>
      <c r="U216" s="182"/>
      <c r="V216" s="182"/>
      <c r="W216" s="182"/>
      <c r="X216" s="182"/>
      <c r="Y216" s="182"/>
      <c r="AB216" s="175" t="str">
        <f t="shared" ref="AB216" si="75">B216</f>
        <v>Mehdi Loune</v>
      </c>
    </row>
    <row r="217" spans="1:28" ht="10.5" customHeight="1" x14ac:dyDescent="0.2">
      <c r="A217" s="200">
        <v>49</v>
      </c>
      <c r="B217" s="190" t="s">
        <v>437</v>
      </c>
      <c r="C217" s="190" t="s">
        <v>2</v>
      </c>
      <c r="D217" s="191" t="s">
        <v>59</v>
      </c>
      <c r="E217" s="191" t="s">
        <v>59</v>
      </c>
      <c r="F217" s="192" t="s">
        <v>59</v>
      </c>
      <c r="G217" s="192" t="s">
        <v>59</v>
      </c>
      <c r="H217" s="192"/>
      <c r="I217" s="191"/>
      <c r="J217" s="181"/>
      <c r="K217" s="182"/>
      <c r="L217" s="182"/>
      <c r="M217" s="182"/>
      <c r="N217" s="182"/>
      <c r="O217" s="182"/>
      <c r="P217" s="182"/>
      <c r="Q217" s="182"/>
      <c r="R217" s="182"/>
      <c r="S217" s="182"/>
      <c r="T217" s="182"/>
      <c r="U217" s="182"/>
      <c r="V217" s="182"/>
      <c r="W217" s="182"/>
      <c r="X217" s="182"/>
      <c r="Y217" s="182"/>
      <c r="AB217" s="175" t="str">
        <f t="shared" ref="AB217" si="76">B217</f>
        <v>Harpreet Ghotra</v>
      </c>
    </row>
    <row r="218" spans="1:28" ht="10.5" customHeight="1" x14ac:dyDescent="0.2">
      <c r="A218" s="201">
        <v>7</v>
      </c>
      <c r="B218" s="195" t="s">
        <v>309</v>
      </c>
      <c r="C218" s="195" t="s">
        <v>3</v>
      </c>
      <c r="D218" s="196" t="s">
        <v>59</v>
      </c>
      <c r="E218" s="196" t="s">
        <v>59</v>
      </c>
      <c r="F218" s="197" t="s">
        <v>59</v>
      </c>
      <c r="G218" s="197" t="s">
        <v>59</v>
      </c>
      <c r="H218" s="197"/>
      <c r="I218" s="196"/>
      <c r="J218" s="181"/>
      <c r="K218" s="182"/>
      <c r="L218" s="182"/>
      <c r="M218" s="182"/>
      <c r="N218" s="182"/>
      <c r="O218" s="182"/>
      <c r="P218" s="182"/>
      <c r="Q218" s="182"/>
      <c r="R218" s="182"/>
      <c r="S218" s="182"/>
      <c r="T218" s="182"/>
      <c r="U218" s="182"/>
      <c r="V218" s="182"/>
      <c r="W218" s="182"/>
      <c r="X218" s="182"/>
      <c r="Y218" s="182"/>
      <c r="AB218" s="175" t="str">
        <f t="shared" ref="AB218:AB219" si="77">B218</f>
        <v>Omar Marmoush (A)</v>
      </c>
    </row>
    <row r="219" spans="1:28" ht="10.5" customHeight="1" x14ac:dyDescent="0.2">
      <c r="A219" s="201">
        <v>9</v>
      </c>
      <c r="B219" s="195" t="s">
        <v>640</v>
      </c>
      <c r="C219" s="195" t="s">
        <v>3</v>
      </c>
      <c r="D219" s="196" t="s">
        <v>59</v>
      </c>
      <c r="E219" s="196" t="s">
        <v>59</v>
      </c>
      <c r="F219" s="197" t="s">
        <v>59</v>
      </c>
      <c r="G219" s="197" t="s">
        <v>59</v>
      </c>
      <c r="H219" s="197"/>
      <c r="I219" s="196"/>
      <c r="J219" s="181"/>
      <c r="K219" s="182"/>
      <c r="L219" s="182"/>
      <c r="M219" s="182"/>
      <c r="N219" s="182"/>
      <c r="O219" s="182"/>
      <c r="P219" s="182"/>
      <c r="Q219" s="182"/>
      <c r="R219" s="182"/>
      <c r="S219" s="182"/>
      <c r="T219" s="182"/>
      <c r="U219" s="182"/>
      <c r="V219" s="182"/>
      <c r="W219" s="182"/>
      <c r="X219" s="182"/>
      <c r="Y219" s="182"/>
      <c r="AB219" s="175" t="str">
        <f t="shared" si="77"/>
        <v>Saša Kalajdžić (A)</v>
      </c>
    </row>
    <row r="220" spans="1:28" ht="10.5" customHeight="1" x14ac:dyDescent="0.2">
      <c r="A220" s="201">
        <v>11</v>
      </c>
      <c r="B220" s="195" t="s">
        <v>667</v>
      </c>
      <c r="C220" s="195" t="s">
        <v>3</v>
      </c>
      <c r="D220" s="196" t="s">
        <v>59</v>
      </c>
      <c r="E220" s="196" t="s">
        <v>59</v>
      </c>
      <c r="F220" s="197" t="s">
        <v>59</v>
      </c>
      <c r="G220" s="197" t="s">
        <v>59</v>
      </c>
      <c r="H220" s="197"/>
      <c r="I220" s="196"/>
      <c r="J220" s="181"/>
      <c r="K220" s="182"/>
      <c r="L220" s="182"/>
      <c r="M220" s="182"/>
      <c r="N220" s="182"/>
      <c r="O220" s="182"/>
      <c r="P220" s="182"/>
      <c r="Q220" s="182"/>
      <c r="R220" s="182"/>
      <c r="S220" s="182"/>
      <c r="T220" s="182"/>
      <c r="U220" s="182"/>
      <c r="V220" s="182"/>
      <c r="W220" s="182"/>
      <c r="X220" s="182"/>
      <c r="Y220" s="182"/>
      <c r="AB220" s="175" t="str">
        <f t="shared" ref="AB220:AB221" si="78">B220</f>
        <v>Hugo Ekitike (A)</v>
      </c>
    </row>
    <row r="221" spans="1:28" ht="10.5" customHeight="1" x14ac:dyDescent="0.2">
      <c r="A221" s="201">
        <v>19</v>
      </c>
      <c r="B221" s="195" t="s">
        <v>662</v>
      </c>
      <c r="C221" s="195" t="s">
        <v>3</v>
      </c>
      <c r="D221" s="196" t="s">
        <v>59</v>
      </c>
      <c r="E221" s="196" t="s">
        <v>59</v>
      </c>
      <c r="F221" s="197" t="s">
        <v>59</v>
      </c>
      <c r="G221" s="197" t="s">
        <v>59</v>
      </c>
      <c r="H221" s="197"/>
      <c r="I221" s="196"/>
      <c r="J221" s="181"/>
      <c r="K221" s="182"/>
      <c r="L221" s="182"/>
      <c r="M221" s="182"/>
      <c r="N221" s="182"/>
      <c r="O221" s="182"/>
      <c r="P221" s="182"/>
      <c r="Q221" s="182"/>
      <c r="R221" s="182"/>
      <c r="S221" s="182"/>
      <c r="T221" s="182"/>
      <c r="U221" s="182"/>
      <c r="V221" s="182"/>
      <c r="W221" s="182"/>
      <c r="X221" s="182"/>
      <c r="Y221" s="182"/>
      <c r="AB221" s="175" t="str">
        <f t="shared" si="78"/>
        <v>Jean-Matteo Bahoya (A)</v>
      </c>
    </row>
    <row r="222" spans="1:28" ht="10.5" customHeight="1" x14ac:dyDescent="0.2">
      <c r="A222" s="201">
        <v>36</v>
      </c>
      <c r="B222" s="195" t="s">
        <v>253</v>
      </c>
      <c r="C222" s="195" t="s">
        <v>3</v>
      </c>
      <c r="D222" s="196" t="s">
        <v>59</v>
      </c>
      <c r="E222" s="196" t="s">
        <v>59</v>
      </c>
      <c r="F222" s="197" t="s">
        <v>59</v>
      </c>
      <c r="G222" s="197" t="s">
        <v>59</v>
      </c>
      <c r="H222" s="197"/>
      <c r="I222" s="196"/>
      <c r="J222" s="181"/>
      <c r="K222" s="182"/>
      <c r="L222" s="182"/>
      <c r="M222" s="182"/>
      <c r="N222" s="182"/>
      <c r="O222" s="182"/>
      <c r="P222" s="182"/>
      <c r="Q222" s="182"/>
      <c r="R222" s="182"/>
      <c r="S222" s="182"/>
      <c r="T222" s="182"/>
      <c r="U222" s="182"/>
      <c r="V222" s="182"/>
      <c r="W222" s="182"/>
      <c r="X222" s="182"/>
      <c r="Y222" s="182"/>
      <c r="AB222" s="175" t="str">
        <f t="shared" ref="AB222:AB224" si="79">B222</f>
        <v>Ansgar Knauff</v>
      </c>
    </row>
    <row r="223" spans="1:28" ht="10.5" customHeight="1" x14ac:dyDescent="0.2">
      <c r="A223" s="201">
        <v>43</v>
      </c>
      <c r="B223" s="195" t="s">
        <v>438</v>
      </c>
      <c r="C223" s="195" t="s">
        <v>3</v>
      </c>
      <c r="D223" s="196" t="s">
        <v>59</v>
      </c>
      <c r="E223" s="196" t="s">
        <v>59</v>
      </c>
      <c r="F223" s="197" t="s">
        <v>59</v>
      </c>
      <c r="G223" s="197" t="s">
        <v>59</v>
      </c>
      <c r="H223" s="197"/>
      <c r="I223" s="196"/>
      <c r="J223" s="181"/>
      <c r="K223" s="182"/>
      <c r="L223" s="182"/>
      <c r="M223" s="182"/>
      <c r="N223" s="182"/>
      <c r="O223" s="182"/>
      <c r="P223" s="182"/>
      <c r="Q223" s="182"/>
      <c r="R223" s="182"/>
      <c r="S223" s="182"/>
      <c r="T223" s="182"/>
      <c r="U223" s="182"/>
      <c r="V223" s="182"/>
      <c r="W223" s="182"/>
      <c r="X223" s="182"/>
      <c r="Y223" s="182"/>
      <c r="AB223" s="175" t="str">
        <f t="shared" ref="AB223" si="80">B223</f>
        <v>Noel Futkeu</v>
      </c>
    </row>
    <row r="224" spans="1:28" ht="10.5" customHeight="1" x14ac:dyDescent="0.2">
      <c r="A224" s="201">
        <v>48</v>
      </c>
      <c r="B224" s="195" t="s">
        <v>560</v>
      </c>
      <c r="C224" s="195" t="s">
        <v>3</v>
      </c>
      <c r="D224" s="196" t="s">
        <v>59</v>
      </c>
      <c r="E224" s="196" t="s">
        <v>59</v>
      </c>
      <c r="F224" s="197" t="s">
        <v>59</v>
      </c>
      <c r="G224" s="197" t="s">
        <v>59</v>
      </c>
      <c r="H224" s="197"/>
      <c r="I224" s="196"/>
      <c r="J224" s="181"/>
      <c r="K224" s="182"/>
      <c r="L224" s="182"/>
      <c r="M224" s="182"/>
      <c r="N224" s="182"/>
      <c r="O224" s="182"/>
      <c r="P224" s="182"/>
      <c r="Q224" s="182"/>
      <c r="R224" s="182"/>
      <c r="S224" s="182"/>
      <c r="T224" s="182"/>
      <c r="U224" s="182"/>
      <c r="V224" s="182"/>
      <c r="W224" s="182"/>
      <c r="X224" s="182"/>
      <c r="Y224" s="182"/>
      <c r="AB224" s="175" t="str">
        <f t="shared" si="79"/>
        <v>Nacho Ferri (A)</v>
      </c>
    </row>
    <row r="225" spans="1:28" ht="15" customHeight="1" thickBot="1" x14ac:dyDescent="0.25">
      <c r="A225" s="220" t="s">
        <v>31</v>
      </c>
      <c r="B225" s="220"/>
      <c r="C225" s="220"/>
      <c r="D225" s="220"/>
      <c r="E225" s="220"/>
      <c r="F225" s="220"/>
      <c r="G225" s="220"/>
      <c r="H225" s="220"/>
      <c r="I225" s="220"/>
      <c r="J225" s="10"/>
      <c r="K225" s="176">
        <v>12</v>
      </c>
      <c r="L225" s="176">
        <v>12</v>
      </c>
      <c r="M225" s="176">
        <v>12</v>
      </c>
      <c r="N225" s="176">
        <v>12</v>
      </c>
      <c r="O225" s="176">
        <v>12</v>
      </c>
      <c r="P225" s="176">
        <v>12</v>
      </c>
      <c r="Q225" s="176">
        <v>12</v>
      </c>
      <c r="R225" s="176">
        <v>12</v>
      </c>
      <c r="S225" s="176">
        <v>12</v>
      </c>
      <c r="T225" s="176">
        <v>12</v>
      </c>
      <c r="U225" s="176">
        <v>12</v>
      </c>
      <c r="V225" s="176">
        <v>12</v>
      </c>
      <c r="W225" s="176">
        <v>12</v>
      </c>
      <c r="X225" s="176">
        <v>12</v>
      </c>
      <c r="Y225" s="176">
        <v>12</v>
      </c>
      <c r="Z225" s="217"/>
      <c r="AB225" s="175" t="str">
        <f>A225</f>
        <v>VfL Wolfsburg</v>
      </c>
    </row>
    <row r="226" spans="1:28" s="113" customFormat="1" ht="10.5" customHeight="1" x14ac:dyDescent="0.2">
      <c r="A226" s="177">
        <v>1</v>
      </c>
      <c r="B226" s="178" t="s">
        <v>101</v>
      </c>
      <c r="C226" s="178" t="s">
        <v>0</v>
      </c>
      <c r="D226" s="179" t="s">
        <v>59</v>
      </c>
      <c r="E226" s="179" t="s">
        <v>59</v>
      </c>
      <c r="F226" s="180" t="s">
        <v>59</v>
      </c>
      <c r="G226" s="180" t="s">
        <v>59</v>
      </c>
      <c r="H226" s="180"/>
      <c r="I226" s="179"/>
      <c r="J226" s="181"/>
      <c r="K226" s="182"/>
      <c r="L226" s="182"/>
      <c r="M226" s="182"/>
      <c r="N226" s="182"/>
      <c r="O226" s="182"/>
      <c r="P226" s="182"/>
      <c r="Q226" s="182"/>
      <c r="R226" s="182"/>
      <c r="S226" s="182"/>
      <c r="T226" s="182"/>
      <c r="U226" s="182"/>
      <c r="V226" s="182"/>
      <c r="W226" s="182"/>
      <c r="X226" s="182"/>
      <c r="Y226" s="182"/>
      <c r="Z226" s="172"/>
      <c r="AB226" s="175" t="str">
        <f t="shared" ref="AB226" si="81">B226</f>
        <v>Koen Casteels (A)</v>
      </c>
    </row>
    <row r="227" spans="1:28" s="113" customFormat="1" ht="10.5" customHeight="1" x14ac:dyDescent="0.2">
      <c r="A227" s="177">
        <v>12</v>
      </c>
      <c r="B227" s="178" t="s">
        <v>171</v>
      </c>
      <c r="C227" s="178" t="s">
        <v>0</v>
      </c>
      <c r="D227" s="179" t="s">
        <v>59</v>
      </c>
      <c r="E227" s="179" t="s">
        <v>59</v>
      </c>
      <c r="F227" s="180" t="s">
        <v>59</v>
      </c>
      <c r="G227" s="180" t="s">
        <v>59</v>
      </c>
      <c r="H227" s="180"/>
      <c r="I227" s="179"/>
      <c r="J227" s="181"/>
      <c r="K227" s="182"/>
      <c r="L227" s="182"/>
      <c r="M227" s="182"/>
      <c r="N227" s="182"/>
      <c r="O227" s="182"/>
      <c r="P227" s="182"/>
      <c r="Q227" s="182"/>
      <c r="R227" s="182"/>
      <c r="S227" s="182"/>
      <c r="T227" s="182"/>
      <c r="U227" s="182"/>
      <c r="V227" s="182"/>
      <c r="W227" s="182"/>
      <c r="X227" s="182"/>
      <c r="Y227" s="182"/>
      <c r="Z227" s="172"/>
      <c r="AB227" s="175" t="str">
        <f t="shared" ref="AB227" si="82">B227</f>
        <v>Pavao Pervan (A)</v>
      </c>
    </row>
    <row r="228" spans="1:28" s="113" customFormat="1" ht="10.5" customHeight="1" x14ac:dyDescent="0.2">
      <c r="A228" s="177">
        <v>30</v>
      </c>
      <c r="B228" s="178" t="s">
        <v>187</v>
      </c>
      <c r="C228" s="178" t="s">
        <v>0</v>
      </c>
      <c r="D228" s="179" t="s">
        <v>59</v>
      </c>
      <c r="E228" s="179" t="s">
        <v>59</v>
      </c>
      <c r="F228" s="180" t="s">
        <v>59</v>
      </c>
      <c r="G228" s="180" t="s">
        <v>59</v>
      </c>
      <c r="H228" s="180"/>
      <c r="I228" s="179"/>
      <c r="J228" s="181"/>
      <c r="K228" s="182"/>
      <c r="L228" s="182"/>
      <c r="M228" s="182"/>
      <c r="N228" s="182"/>
      <c r="O228" s="182"/>
      <c r="P228" s="182"/>
      <c r="Q228" s="182"/>
      <c r="R228" s="182"/>
      <c r="S228" s="182"/>
      <c r="T228" s="182"/>
      <c r="U228" s="182"/>
      <c r="V228" s="182"/>
      <c r="W228" s="182"/>
      <c r="X228" s="182"/>
      <c r="Y228" s="182"/>
      <c r="Z228" s="172"/>
      <c r="AB228" s="175" t="str">
        <f t="shared" ref="AB228" si="83">B228</f>
        <v>Niklas Klinger</v>
      </c>
    </row>
    <row r="229" spans="1:28" s="113" customFormat="1" ht="10.5" customHeight="1" x14ac:dyDescent="0.2">
      <c r="A229" s="198">
        <v>2</v>
      </c>
      <c r="B229" s="199" t="s">
        <v>349</v>
      </c>
      <c r="C229" s="185" t="s">
        <v>1</v>
      </c>
      <c r="D229" s="186" t="s">
        <v>59</v>
      </c>
      <c r="E229" s="186" t="s">
        <v>59</v>
      </c>
      <c r="F229" s="187" t="s">
        <v>59</v>
      </c>
      <c r="G229" s="187" t="s">
        <v>59</v>
      </c>
      <c r="H229" s="187"/>
      <c r="I229" s="186"/>
      <c r="J229" s="181"/>
      <c r="K229" s="182"/>
      <c r="L229" s="182"/>
      <c r="M229" s="182"/>
      <c r="N229" s="182"/>
      <c r="O229" s="182"/>
      <c r="P229" s="182"/>
      <c r="Q229" s="182"/>
      <c r="R229" s="182"/>
      <c r="S229" s="182"/>
      <c r="T229" s="182"/>
      <c r="U229" s="182"/>
      <c r="V229" s="182"/>
      <c r="W229" s="182"/>
      <c r="X229" s="182"/>
      <c r="Y229" s="182"/>
      <c r="Z229" s="172"/>
      <c r="AB229" s="175" t="str">
        <f t="shared" ref="AB229" si="84">B229</f>
        <v>Kilian Fischer</v>
      </c>
    </row>
    <row r="230" spans="1:28" s="113" customFormat="1" ht="10.5" customHeight="1" x14ac:dyDescent="0.2">
      <c r="A230" s="198">
        <v>3</v>
      </c>
      <c r="B230" s="199" t="s">
        <v>203</v>
      </c>
      <c r="C230" s="185" t="s">
        <v>1</v>
      </c>
      <c r="D230" s="186" t="s">
        <v>59</v>
      </c>
      <c r="E230" s="186" t="s">
        <v>59</v>
      </c>
      <c r="F230" s="187" t="s">
        <v>59</v>
      </c>
      <c r="G230" s="187" t="s">
        <v>59</v>
      </c>
      <c r="H230" s="187"/>
      <c r="I230" s="186"/>
      <c r="J230" s="181"/>
      <c r="K230" s="182"/>
      <c r="L230" s="182"/>
      <c r="M230" s="182"/>
      <c r="N230" s="182"/>
      <c r="O230" s="182"/>
      <c r="P230" s="182"/>
      <c r="Q230" s="182"/>
      <c r="R230" s="182"/>
      <c r="S230" s="182"/>
      <c r="T230" s="182"/>
      <c r="U230" s="182"/>
      <c r="V230" s="182"/>
      <c r="W230" s="182"/>
      <c r="X230" s="182"/>
      <c r="Y230" s="182"/>
      <c r="Z230" s="172"/>
      <c r="AB230" s="175" t="str">
        <f t="shared" ref="AB230:AB234" si="85">B230</f>
        <v>Sebastiaan Bornauw (A)</v>
      </c>
    </row>
    <row r="231" spans="1:28" s="113" customFormat="1" ht="10.5" customHeight="1" x14ac:dyDescent="0.2">
      <c r="A231" s="198">
        <v>4</v>
      </c>
      <c r="B231" s="199" t="s">
        <v>231</v>
      </c>
      <c r="C231" s="185" t="s">
        <v>1</v>
      </c>
      <c r="D231" s="186" t="s">
        <v>59</v>
      </c>
      <c r="E231" s="186" t="s">
        <v>59</v>
      </c>
      <c r="F231" s="187" t="s">
        <v>59</v>
      </c>
      <c r="G231" s="187" t="s">
        <v>59</v>
      </c>
      <c r="H231" s="187"/>
      <c r="I231" s="186"/>
      <c r="J231" s="181"/>
      <c r="K231" s="182"/>
      <c r="L231" s="182"/>
      <c r="M231" s="182"/>
      <c r="N231" s="182"/>
      <c r="O231" s="182"/>
      <c r="P231" s="182"/>
      <c r="Q231" s="182"/>
      <c r="R231" s="182"/>
      <c r="S231" s="182"/>
      <c r="T231" s="182"/>
      <c r="U231" s="182"/>
      <c r="V231" s="182"/>
      <c r="W231" s="182"/>
      <c r="X231" s="182"/>
      <c r="Y231" s="182"/>
      <c r="Z231" s="172"/>
      <c r="AB231" s="175" t="str">
        <f t="shared" si="85"/>
        <v>Maxence Lacroix (A)</v>
      </c>
    </row>
    <row r="232" spans="1:28" s="113" customFormat="1" ht="10.5" customHeight="1" x14ac:dyDescent="0.2">
      <c r="A232" s="198">
        <v>5</v>
      </c>
      <c r="B232" s="199" t="s">
        <v>584</v>
      </c>
      <c r="C232" s="185" t="s">
        <v>1</v>
      </c>
      <c r="D232" s="186" t="s">
        <v>59</v>
      </c>
      <c r="E232" s="186" t="s">
        <v>59</v>
      </c>
      <c r="F232" s="187" t="s">
        <v>59</v>
      </c>
      <c r="G232" s="187" t="s">
        <v>59</v>
      </c>
      <c r="H232" s="187"/>
      <c r="I232" s="186"/>
      <c r="J232" s="181"/>
      <c r="K232" s="182"/>
      <c r="L232" s="182"/>
      <c r="M232" s="182"/>
      <c r="N232" s="182"/>
      <c r="O232" s="182"/>
      <c r="P232" s="182"/>
      <c r="Q232" s="182"/>
      <c r="R232" s="182"/>
      <c r="S232" s="182"/>
      <c r="T232" s="182"/>
      <c r="U232" s="182"/>
      <c r="V232" s="182"/>
      <c r="W232" s="182"/>
      <c r="X232" s="182"/>
      <c r="Y232" s="182"/>
      <c r="Z232" s="172"/>
      <c r="AB232" s="175" t="str">
        <f>B232</f>
        <v>Cédric Zesiger (A)</v>
      </c>
    </row>
    <row r="233" spans="1:28" s="113" customFormat="1" ht="10.5" customHeight="1" x14ac:dyDescent="0.2">
      <c r="A233" s="198">
        <v>13</v>
      </c>
      <c r="B233" s="199" t="s">
        <v>583</v>
      </c>
      <c r="C233" s="185" t="s">
        <v>1</v>
      </c>
      <c r="D233" s="186" t="s">
        <v>59</v>
      </c>
      <c r="E233" s="186" t="s">
        <v>59</v>
      </c>
      <c r="F233" s="187" t="s">
        <v>59</v>
      </c>
      <c r="G233" s="187" t="s">
        <v>59</v>
      </c>
      <c r="H233" s="187"/>
      <c r="I233" s="186"/>
      <c r="J233" s="181"/>
      <c r="K233" s="182"/>
      <c r="L233" s="182"/>
      <c r="M233" s="182"/>
      <c r="N233" s="182"/>
      <c r="O233" s="182"/>
      <c r="P233" s="182"/>
      <c r="Q233" s="182"/>
      <c r="R233" s="182"/>
      <c r="S233" s="182"/>
      <c r="T233" s="182"/>
      <c r="U233" s="182"/>
      <c r="V233" s="182"/>
      <c r="W233" s="182"/>
      <c r="X233" s="182"/>
      <c r="Y233" s="182"/>
      <c r="Z233" s="172"/>
      <c r="AB233" s="175" t="str">
        <f t="shared" si="85"/>
        <v>Rogério (A)</v>
      </c>
    </row>
    <row r="234" spans="1:28" s="113" customFormat="1" ht="10.5" customHeight="1" x14ac:dyDescent="0.2">
      <c r="A234" s="198">
        <v>21</v>
      </c>
      <c r="B234" s="199" t="s">
        <v>543</v>
      </c>
      <c r="C234" s="185" t="s">
        <v>1</v>
      </c>
      <c r="D234" s="186" t="s">
        <v>59</v>
      </c>
      <c r="E234" s="186" t="s">
        <v>59</v>
      </c>
      <c r="F234" s="187" t="s">
        <v>59</v>
      </c>
      <c r="G234" s="187" t="s">
        <v>59</v>
      </c>
      <c r="H234" s="187"/>
      <c r="I234" s="186"/>
      <c r="J234" s="181"/>
      <c r="K234" s="182"/>
      <c r="L234" s="182"/>
      <c r="M234" s="182"/>
      <c r="N234" s="182"/>
      <c r="O234" s="182"/>
      <c r="P234" s="182"/>
      <c r="Q234" s="182"/>
      <c r="R234" s="182"/>
      <c r="S234" s="182"/>
      <c r="T234" s="182"/>
      <c r="U234" s="182"/>
      <c r="V234" s="182"/>
      <c r="W234" s="182"/>
      <c r="X234" s="182"/>
      <c r="Y234" s="182"/>
      <c r="Z234" s="172"/>
      <c r="AB234" s="175" t="str">
        <f t="shared" si="85"/>
        <v>Joakim Maehle (A)</v>
      </c>
    </row>
    <row r="235" spans="1:28" s="113" customFormat="1" ht="10.5" customHeight="1" x14ac:dyDescent="0.2">
      <c r="A235" s="198">
        <v>25</v>
      </c>
      <c r="B235" s="199" t="s">
        <v>439</v>
      </c>
      <c r="C235" s="185" t="s">
        <v>1</v>
      </c>
      <c r="D235" s="186" t="s">
        <v>59</v>
      </c>
      <c r="E235" s="186" t="s">
        <v>59</v>
      </c>
      <c r="F235" s="187" t="s">
        <v>59</v>
      </c>
      <c r="G235" s="187" t="s">
        <v>59</v>
      </c>
      <c r="H235" s="187"/>
      <c r="I235" s="186"/>
      <c r="J235" s="181"/>
      <c r="K235" s="182"/>
      <c r="L235" s="182"/>
      <c r="M235" s="182"/>
      <c r="N235" s="182"/>
      <c r="O235" s="182"/>
      <c r="P235" s="182"/>
      <c r="Q235" s="182"/>
      <c r="R235" s="182"/>
      <c r="S235" s="182"/>
      <c r="T235" s="182"/>
      <c r="U235" s="182"/>
      <c r="V235" s="182"/>
      <c r="W235" s="182"/>
      <c r="X235" s="182"/>
      <c r="Y235" s="182"/>
      <c r="Z235" s="172"/>
      <c r="AB235" s="175" t="str">
        <f t="shared" ref="AB235" si="86">B235</f>
        <v>Moritz Jenz (A)</v>
      </c>
    </row>
    <row r="236" spans="1:28" s="113" customFormat="1" ht="10.5" customHeight="1" x14ac:dyDescent="0.2">
      <c r="A236" s="200">
        <v>6</v>
      </c>
      <c r="B236" s="190" t="s">
        <v>440</v>
      </c>
      <c r="C236" s="190" t="s">
        <v>2</v>
      </c>
      <c r="D236" s="191" t="s">
        <v>59</v>
      </c>
      <c r="E236" s="191" t="s">
        <v>59</v>
      </c>
      <c r="F236" s="192" t="s">
        <v>59</v>
      </c>
      <c r="G236" s="192" t="s">
        <v>59</v>
      </c>
      <c r="H236" s="192"/>
      <c r="I236" s="191"/>
      <c r="J236" s="181"/>
      <c r="K236" s="182"/>
      <c r="L236" s="182"/>
      <c r="M236" s="182"/>
      <c r="N236" s="182"/>
      <c r="O236" s="182"/>
      <c r="P236" s="182"/>
      <c r="Q236" s="182"/>
      <c r="R236" s="182"/>
      <c r="S236" s="182"/>
      <c r="T236" s="182"/>
      <c r="U236" s="182"/>
      <c r="V236" s="182"/>
      <c r="W236" s="182"/>
      <c r="X236" s="182"/>
      <c r="Y236" s="182"/>
      <c r="Z236" s="172"/>
      <c r="AB236" s="175" t="str">
        <f t="shared" ref="AB236:AB245" si="87">B236</f>
        <v>Aster Vranckx (A)</v>
      </c>
    </row>
    <row r="237" spans="1:28" s="113" customFormat="1" ht="10.5" customHeight="1" x14ac:dyDescent="0.2">
      <c r="A237" s="200">
        <v>7</v>
      </c>
      <c r="B237" s="190" t="s">
        <v>582</v>
      </c>
      <c r="C237" s="190" t="s">
        <v>2</v>
      </c>
      <c r="D237" s="191" t="s">
        <v>59</v>
      </c>
      <c r="E237" s="191" t="s">
        <v>59</v>
      </c>
      <c r="F237" s="192" t="s">
        <v>59</v>
      </c>
      <c r="G237" s="192" t="s">
        <v>59</v>
      </c>
      <c r="H237" s="192"/>
      <c r="I237" s="191"/>
      <c r="J237" s="181"/>
      <c r="K237" s="182"/>
      <c r="L237" s="182"/>
      <c r="M237" s="182"/>
      <c r="N237" s="182"/>
      <c r="O237" s="182"/>
      <c r="P237" s="182"/>
      <c r="Q237" s="182"/>
      <c r="R237" s="182"/>
      <c r="S237" s="182"/>
      <c r="T237" s="182"/>
      <c r="U237" s="182"/>
      <c r="V237" s="182"/>
      <c r="W237" s="182"/>
      <c r="X237" s="182"/>
      <c r="Y237" s="182"/>
      <c r="Z237" s="172"/>
      <c r="AB237" s="175" t="str">
        <f t="shared" ref="AB237:AB243" si="88">B237</f>
        <v>Václav Černý (A)</v>
      </c>
    </row>
    <row r="238" spans="1:28" s="113" customFormat="1" ht="10.5" customHeight="1" x14ac:dyDescent="0.2">
      <c r="A238" s="200">
        <v>16</v>
      </c>
      <c r="B238" s="190" t="s">
        <v>350</v>
      </c>
      <c r="C238" s="190" t="s">
        <v>2</v>
      </c>
      <c r="D238" s="191" t="s">
        <v>59</v>
      </c>
      <c r="E238" s="191" t="s">
        <v>59</v>
      </c>
      <c r="F238" s="192" t="s">
        <v>59</v>
      </c>
      <c r="G238" s="192" t="s">
        <v>59</v>
      </c>
      <c r="H238" s="192"/>
      <c r="I238" s="191"/>
      <c r="J238" s="181"/>
      <c r="K238" s="182"/>
      <c r="L238" s="182"/>
      <c r="M238" s="182"/>
      <c r="N238" s="182"/>
      <c r="O238" s="182"/>
      <c r="P238" s="182"/>
      <c r="Q238" s="182"/>
      <c r="R238" s="182"/>
      <c r="S238" s="182"/>
      <c r="T238" s="182"/>
      <c r="U238" s="182"/>
      <c r="V238" s="182"/>
      <c r="W238" s="182"/>
      <c r="X238" s="182"/>
      <c r="Y238" s="182"/>
      <c r="Z238" s="172"/>
      <c r="AB238" s="175" t="str">
        <f t="shared" si="88"/>
        <v>Jakub Kaminski (A)</v>
      </c>
    </row>
    <row r="239" spans="1:28" s="113" customFormat="1" ht="10.5" customHeight="1" x14ac:dyDescent="0.2">
      <c r="A239" s="200">
        <v>19</v>
      </c>
      <c r="B239" s="190" t="s">
        <v>555</v>
      </c>
      <c r="C239" s="190" t="s">
        <v>2</v>
      </c>
      <c r="D239" s="191" t="s">
        <v>59</v>
      </c>
      <c r="E239" s="191" t="s">
        <v>59</v>
      </c>
      <c r="F239" s="192" t="s">
        <v>59</v>
      </c>
      <c r="G239" s="192" t="s">
        <v>59</v>
      </c>
      <c r="H239" s="192"/>
      <c r="I239" s="191"/>
      <c r="J239" s="181"/>
      <c r="K239" s="182"/>
      <c r="L239" s="182"/>
      <c r="M239" s="182"/>
      <c r="N239" s="182"/>
      <c r="O239" s="182"/>
      <c r="P239" s="182"/>
      <c r="Q239" s="182"/>
      <c r="R239" s="182"/>
      <c r="S239" s="182"/>
      <c r="T239" s="182"/>
      <c r="U239" s="182"/>
      <c r="V239" s="182"/>
      <c r="W239" s="182"/>
      <c r="X239" s="182"/>
      <c r="Y239" s="182"/>
      <c r="Z239" s="172"/>
      <c r="AB239" s="175" t="str">
        <f t="shared" ref="AB239" si="89">B239</f>
        <v>Lovro Majer (A)</v>
      </c>
    </row>
    <row r="240" spans="1:28" s="113" customFormat="1" ht="10.5" customHeight="1" x14ac:dyDescent="0.2">
      <c r="A240" s="200">
        <v>20</v>
      </c>
      <c r="B240" s="190" t="s">
        <v>195</v>
      </c>
      <c r="C240" s="190" t="s">
        <v>2</v>
      </c>
      <c r="D240" s="191" t="s">
        <v>59</v>
      </c>
      <c r="E240" s="191" t="s">
        <v>59</v>
      </c>
      <c r="F240" s="192" t="s">
        <v>59</v>
      </c>
      <c r="G240" s="192" t="s">
        <v>59</v>
      </c>
      <c r="H240" s="192"/>
      <c r="I240" s="191"/>
      <c r="J240" s="181"/>
      <c r="K240" s="182"/>
      <c r="L240" s="182"/>
      <c r="M240" s="182"/>
      <c r="N240" s="182"/>
      <c r="O240" s="182"/>
      <c r="P240" s="182"/>
      <c r="Q240" s="182"/>
      <c r="R240" s="182"/>
      <c r="S240" s="182"/>
      <c r="T240" s="182"/>
      <c r="U240" s="182"/>
      <c r="V240" s="182"/>
      <c r="W240" s="182"/>
      <c r="X240" s="182"/>
      <c r="Y240" s="182"/>
      <c r="Z240" s="172"/>
      <c r="AB240" s="175" t="str">
        <f t="shared" si="88"/>
        <v>Ridle Baku</v>
      </c>
    </row>
    <row r="241" spans="1:28" s="113" customFormat="1" ht="10.5" customHeight="1" x14ac:dyDescent="0.2">
      <c r="A241" s="200">
        <v>27</v>
      </c>
      <c r="B241" s="190" t="s">
        <v>108</v>
      </c>
      <c r="C241" s="190" t="s">
        <v>2</v>
      </c>
      <c r="D241" s="191" t="s">
        <v>59</v>
      </c>
      <c r="E241" s="191" t="s">
        <v>59</v>
      </c>
      <c r="F241" s="192" t="s">
        <v>59</v>
      </c>
      <c r="G241" s="192" t="s">
        <v>59</v>
      </c>
      <c r="H241" s="192"/>
      <c r="I241" s="191"/>
      <c r="J241" s="181"/>
      <c r="K241" s="182"/>
      <c r="L241" s="182"/>
      <c r="M241" s="182"/>
      <c r="N241" s="182"/>
      <c r="O241" s="182"/>
      <c r="P241" s="182"/>
      <c r="Q241" s="182"/>
      <c r="R241" s="182"/>
      <c r="S241" s="182"/>
      <c r="T241" s="182"/>
      <c r="U241" s="182"/>
      <c r="V241" s="182"/>
      <c r="W241" s="182"/>
      <c r="X241" s="182"/>
      <c r="Y241" s="182"/>
      <c r="Z241" s="172"/>
      <c r="AB241" s="175" t="str">
        <f t="shared" si="88"/>
        <v>Maximilian Arnold</v>
      </c>
    </row>
    <row r="242" spans="1:28" s="113" customFormat="1" ht="10.5" customHeight="1" x14ac:dyDescent="0.2">
      <c r="A242" s="200">
        <v>31</v>
      </c>
      <c r="B242" s="190" t="s">
        <v>172</v>
      </c>
      <c r="C242" s="190" t="s">
        <v>2</v>
      </c>
      <c r="D242" s="191" t="s">
        <v>59</v>
      </c>
      <c r="E242" s="191" t="s">
        <v>59</v>
      </c>
      <c r="F242" s="192" t="s">
        <v>59</v>
      </c>
      <c r="G242" s="192" t="s">
        <v>59</v>
      </c>
      <c r="H242" s="192"/>
      <c r="I242" s="191"/>
      <c r="J242" s="181"/>
      <c r="K242" s="182"/>
      <c r="L242" s="182"/>
      <c r="M242" s="182"/>
      <c r="N242" s="182"/>
      <c r="O242" s="182"/>
      <c r="P242" s="182"/>
      <c r="Q242" s="182"/>
      <c r="R242" s="182"/>
      <c r="S242" s="182"/>
      <c r="T242" s="182"/>
      <c r="U242" s="182"/>
      <c r="V242" s="182"/>
      <c r="W242" s="182"/>
      <c r="X242" s="182"/>
      <c r="Y242" s="182"/>
      <c r="Z242" s="172"/>
      <c r="AB242" s="175" t="str">
        <f t="shared" si="88"/>
        <v>Yannick Gerhardt</v>
      </c>
    </row>
    <row r="243" spans="1:28" s="113" customFormat="1" ht="10.5" customHeight="1" x14ac:dyDescent="0.2">
      <c r="A243" s="200">
        <v>32</v>
      </c>
      <c r="B243" s="190" t="s">
        <v>351</v>
      </c>
      <c r="C243" s="190" t="s">
        <v>2</v>
      </c>
      <c r="D243" s="191" t="s">
        <v>59</v>
      </c>
      <c r="E243" s="191" t="s">
        <v>59</v>
      </c>
      <c r="F243" s="192" t="s">
        <v>59</v>
      </c>
      <c r="G243" s="192" t="s">
        <v>59</v>
      </c>
      <c r="H243" s="192"/>
      <c r="I243" s="191"/>
      <c r="J243" s="181"/>
      <c r="K243" s="182"/>
      <c r="L243" s="182"/>
      <c r="M243" s="182"/>
      <c r="N243" s="182"/>
      <c r="O243" s="182"/>
      <c r="P243" s="182"/>
      <c r="Q243" s="182"/>
      <c r="R243" s="182"/>
      <c r="S243" s="182"/>
      <c r="T243" s="182"/>
      <c r="U243" s="182"/>
      <c r="V243" s="182"/>
      <c r="W243" s="182"/>
      <c r="X243" s="182"/>
      <c r="Y243" s="182"/>
      <c r="Z243" s="172"/>
      <c r="AB243" s="175" t="str">
        <f t="shared" si="88"/>
        <v>Mattias Svanberg (A)</v>
      </c>
    </row>
    <row r="244" spans="1:28" s="113" customFormat="1" ht="10.5" customHeight="1" x14ac:dyDescent="0.2">
      <c r="A244" s="200">
        <v>39</v>
      </c>
      <c r="B244" s="190" t="s">
        <v>290</v>
      </c>
      <c r="C244" s="190" t="s">
        <v>2</v>
      </c>
      <c r="D244" s="191" t="s">
        <v>59</v>
      </c>
      <c r="E244" s="191" t="s">
        <v>59</v>
      </c>
      <c r="F244" s="192" t="s">
        <v>59</v>
      </c>
      <c r="G244" s="192" t="s">
        <v>59</v>
      </c>
      <c r="H244" s="192"/>
      <c r="I244" s="191"/>
      <c r="J244" s="181"/>
      <c r="K244" s="182"/>
      <c r="L244" s="182"/>
      <c r="M244" s="182"/>
      <c r="N244" s="182"/>
      <c r="O244" s="182"/>
      <c r="P244" s="182"/>
      <c r="Q244" s="182"/>
      <c r="R244" s="182"/>
      <c r="S244" s="182"/>
      <c r="T244" s="182"/>
      <c r="U244" s="182"/>
      <c r="V244" s="182"/>
      <c r="W244" s="182"/>
      <c r="X244" s="182"/>
      <c r="Y244" s="182"/>
      <c r="Z244" s="172"/>
      <c r="AB244" s="175" t="str">
        <f t="shared" si="87"/>
        <v>Patrick Wimmer (A)</v>
      </c>
    </row>
    <row r="245" spans="1:28" s="113" customFormat="1" ht="10.5" customHeight="1" x14ac:dyDescent="0.2">
      <c r="A245" s="200">
        <v>40</v>
      </c>
      <c r="B245" s="190" t="s">
        <v>313</v>
      </c>
      <c r="C245" s="190" t="s">
        <v>2</v>
      </c>
      <c r="D245" s="191" t="s">
        <v>59</v>
      </c>
      <c r="E245" s="191" t="s">
        <v>59</v>
      </c>
      <c r="F245" s="192" t="s">
        <v>59</v>
      </c>
      <c r="G245" s="192" t="s">
        <v>59</v>
      </c>
      <c r="H245" s="192"/>
      <c r="I245" s="191"/>
      <c r="J245" s="181"/>
      <c r="K245" s="182"/>
      <c r="L245" s="182"/>
      <c r="M245" s="182"/>
      <c r="N245" s="182"/>
      <c r="O245" s="182"/>
      <c r="P245" s="182"/>
      <c r="Q245" s="182"/>
      <c r="R245" s="182"/>
      <c r="S245" s="182"/>
      <c r="T245" s="182"/>
      <c r="U245" s="182"/>
      <c r="V245" s="182"/>
      <c r="W245" s="182"/>
      <c r="X245" s="182"/>
      <c r="Y245" s="182"/>
      <c r="Z245" s="172"/>
      <c r="AB245" s="175" t="str">
        <f t="shared" si="87"/>
        <v>Kevin Paredes (A)</v>
      </c>
    </row>
    <row r="246" spans="1:28" s="113" customFormat="1" ht="10.5" customHeight="1" x14ac:dyDescent="0.2">
      <c r="A246" s="200">
        <v>41</v>
      </c>
      <c r="B246" s="190" t="s">
        <v>632</v>
      </c>
      <c r="C246" s="190" t="s">
        <v>2</v>
      </c>
      <c r="D246" s="191" t="s">
        <v>59</v>
      </c>
      <c r="E246" s="191" t="s">
        <v>59</v>
      </c>
      <c r="F246" s="192" t="s">
        <v>59</v>
      </c>
      <c r="G246" s="192" t="s">
        <v>59</v>
      </c>
      <c r="H246" s="192"/>
      <c r="I246" s="191"/>
      <c r="J246" s="181"/>
      <c r="K246" s="182"/>
      <c r="L246" s="182"/>
      <c r="M246" s="182"/>
      <c r="N246" s="182"/>
      <c r="O246" s="182"/>
      <c r="P246" s="182"/>
      <c r="Q246" s="182"/>
      <c r="R246" s="182"/>
      <c r="S246" s="182"/>
      <c r="T246" s="182"/>
      <c r="U246" s="182"/>
      <c r="V246" s="182"/>
      <c r="W246" s="182"/>
      <c r="X246" s="182"/>
      <c r="Y246" s="182"/>
      <c r="Z246" s="172"/>
      <c r="AB246" s="175" t="str">
        <f t="shared" ref="AB246:AB247" si="90">B246</f>
        <v>Kofi Amoako</v>
      </c>
    </row>
    <row r="247" spans="1:28" s="113" customFormat="1" ht="10.5" customHeight="1" x14ac:dyDescent="0.2">
      <c r="A247" s="201">
        <v>9</v>
      </c>
      <c r="B247" s="195" t="s">
        <v>608</v>
      </c>
      <c r="C247" s="195" t="s">
        <v>3</v>
      </c>
      <c r="D247" s="196" t="s">
        <v>59</v>
      </c>
      <c r="E247" s="196" t="s">
        <v>59</v>
      </c>
      <c r="F247" s="197" t="s">
        <v>59</v>
      </c>
      <c r="G247" s="197" t="s">
        <v>59</v>
      </c>
      <c r="H247" s="197"/>
      <c r="I247" s="196"/>
      <c r="J247" s="181"/>
      <c r="K247" s="182"/>
      <c r="L247" s="182"/>
      <c r="M247" s="182"/>
      <c r="N247" s="182"/>
      <c r="O247" s="182"/>
      <c r="P247" s="182"/>
      <c r="Q247" s="182"/>
      <c r="R247" s="182"/>
      <c r="S247" s="182"/>
      <c r="T247" s="182"/>
      <c r="U247" s="182"/>
      <c r="V247" s="182"/>
      <c r="W247" s="182"/>
      <c r="X247" s="182"/>
      <c r="Y247" s="182"/>
      <c r="Z247" s="172"/>
      <c r="AB247" s="175" t="str">
        <f t="shared" si="90"/>
        <v>Amin Sarr (A)</v>
      </c>
    </row>
    <row r="248" spans="1:28" s="113" customFormat="1" ht="10.5" customHeight="1" x14ac:dyDescent="0.2">
      <c r="A248" s="201">
        <v>10</v>
      </c>
      <c r="B248" s="195" t="s">
        <v>269</v>
      </c>
      <c r="C248" s="195" t="s">
        <v>3</v>
      </c>
      <c r="D248" s="196" t="s">
        <v>59</v>
      </c>
      <c r="E248" s="196" t="s">
        <v>59</v>
      </c>
      <c r="F248" s="197" t="s">
        <v>59</v>
      </c>
      <c r="G248" s="197" t="s">
        <v>59</v>
      </c>
      <c r="H248" s="197"/>
      <c r="I248" s="196"/>
      <c r="J248" s="181"/>
      <c r="K248" s="182"/>
      <c r="L248" s="182"/>
      <c r="M248" s="182"/>
      <c r="N248" s="182"/>
      <c r="O248" s="182"/>
      <c r="P248" s="182"/>
      <c r="Q248" s="182"/>
      <c r="R248" s="182"/>
      <c r="S248" s="182"/>
      <c r="T248" s="182"/>
      <c r="U248" s="182"/>
      <c r="V248" s="182"/>
      <c r="W248" s="182"/>
      <c r="X248" s="182"/>
      <c r="Y248" s="182"/>
      <c r="Z248" s="172"/>
      <c r="AB248" s="175" t="str">
        <f t="shared" ref="AB248" si="91">B248</f>
        <v>Lukas Nmecha</v>
      </c>
    </row>
    <row r="249" spans="1:28" s="113" customFormat="1" ht="10.5" customHeight="1" x14ac:dyDescent="0.2">
      <c r="A249" s="201">
        <v>11</v>
      </c>
      <c r="B249" s="195" t="s">
        <v>581</v>
      </c>
      <c r="C249" s="195" t="s">
        <v>3</v>
      </c>
      <c r="D249" s="196" t="s">
        <v>59</v>
      </c>
      <c r="E249" s="196" t="s">
        <v>59</v>
      </c>
      <c r="F249" s="197" t="s">
        <v>59</v>
      </c>
      <c r="G249" s="197" t="s">
        <v>59</v>
      </c>
      <c r="H249" s="197"/>
      <c r="I249" s="196"/>
      <c r="J249" s="181"/>
      <c r="K249" s="182"/>
      <c r="L249" s="182"/>
      <c r="M249" s="182"/>
      <c r="N249" s="182"/>
      <c r="O249" s="182"/>
      <c r="P249" s="182"/>
      <c r="Q249" s="182"/>
      <c r="R249" s="182"/>
      <c r="S249" s="182"/>
      <c r="T249" s="182"/>
      <c r="U249" s="182"/>
      <c r="V249" s="182"/>
      <c r="W249" s="182"/>
      <c r="X249" s="182"/>
      <c r="Y249" s="182"/>
      <c r="Z249" s="172"/>
      <c r="AB249" s="175" t="str">
        <f t="shared" ref="AB249:AB251" si="92">B249</f>
        <v>Tiago Tomás (A)</v>
      </c>
    </row>
    <row r="250" spans="1:28" s="113" customFormat="1" ht="10.5" customHeight="1" x14ac:dyDescent="0.2">
      <c r="A250" s="201">
        <v>17</v>
      </c>
      <c r="B250" s="195" t="s">
        <v>271</v>
      </c>
      <c r="C250" s="195" t="s">
        <v>3</v>
      </c>
      <c r="D250" s="196" t="s">
        <v>59</v>
      </c>
      <c r="E250" s="196" t="s">
        <v>59</v>
      </c>
      <c r="F250" s="197" t="s">
        <v>59</v>
      </c>
      <c r="G250" s="197" t="s">
        <v>59</v>
      </c>
      <c r="H250" s="197"/>
      <c r="I250" s="196"/>
      <c r="J250" s="181"/>
      <c r="K250" s="182"/>
      <c r="L250" s="182"/>
      <c r="M250" s="182"/>
      <c r="N250" s="182"/>
      <c r="O250" s="182"/>
      <c r="P250" s="182"/>
      <c r="Q250" s="182"/>
      <c r="R250" s="182"/>
      <c r="S250" s="182"/>
      <c r="T250" s="182"/>
      <c r="U250" s="182"/>
      <c r="V250" s="182"/>
      <c r="W250" s="182"/>
      <c r="X250" s="182"/>
      <c r="Y250" s="182"/>
      <c r="Z250" s="172"/>
      <c r="AB250" s="175" t="str">
        <f t="shared" ref="AB250" si="93">B250</f>
        <v>Kevin Behrens</v>
      </c>
    </row>
    <row r="251" spans="1:28" s="113" customFormat="1" ht="10.5" customHeight="1" x14ac:dyDescent="0.2">
      <c r="A251" s="201">
        <v>18</v>
      </c>
      <c r="B251" s="195" t="s">
        <v>580</v>
      </c>
      <c r="C251" s="195" t="s">
        <v>3</v>
      </c>
      <c r="D251" s="196" t="s">
        <v>59</v>
      </c>
      <c r="E251" s="196" t="s">
        <v>59</v>
      </c>
      <c r="F251" s="197" t="s">
        <v>59</v>
      </c>
      <c r="G251" s="197" t="s">
        <v>59</v>
      </c>
      <c r="H251" s="197"/>
      <c r="I251" s="196"/>
      <c r="J251" s="181"/>
      <c r="K251" s="182"/>
      <c r="L251" s="182"/>
      <c r="M251" s="182"/>
      <c r="N251" s="182"/>
      <c r="O251" s="182"/>
      <c r="P251" s="182"/>
      <c r="Q251" s="182"/>
      <c r="R251" s="182"/>
      <c r="S251" s="182"/>
      <c r="T251" s="182"/>
      <c r="U251" s="182"/>
      <c r="V251" s="182"/>
      <c r="W251" s="182"/>
      <c r="X251" s="182"/>
      <c r="Y251" s="182"/>
      <c r="Z251" s="172"/>
      <c r="AB251" s="175" t="str">
        <f t="shared" si="92"/>
        <v>Dženan Pejčinović</v>
      </c>
    </row>
    <row r="252" spans="1:28" s="113" customFormat="1" ht="10.5" customHeight="1" x14ac:dyDescent="0.2">
      <c r="A252" s="201">
        <v>23</v>
      </c>
      <c r="B252" s="195" t="s">
        <v>314</v>
      </c>
      <c r="C252" s="195" t="s">
        <v>3</v>
      </c>
      <c r="D252" s="196" t="s">
        <v>59</v>
      </c>
      <c r="E252" s="196" t="s">
        <v>59</v>
      </c>
      <c r="F252" s="197" t="s">
        <v>59</v>
      </c>
      <c r="G252" s="197" t="s">
        <v>59</v>
      </c>
      <c r="H252" s="197"/>
      <c r="I252" s="196"/>
      <c r="J252" s="181"/>
      <c r="K252" s="182"/>
      <c r="L252" s="182"/>
      <c r="M252" s="182"/>
      <c r="N252" s="182"/>
      <c r="O252" s="182"/>
      <c r="P252" s="182"/>
      <c r="Q252" s="182"/>
      <c r="R252" s="182"/>
      <c r="S252" s="182"/>
      <c r="T252" s="182"/>
      <c r="U252" s="182"/>
      <c r="V252" s="182"/>
      <c r="W252" s="182"/>
      <c r="X252" s="182"/>
      <c r="Y252" s="182"/>
      <c r="Z252" s="172"/>
      <c r="AB252" s="175" t="str">
        <f t="shared" ref="AB252" si="94">B252</f>
        <v>Jonas Wind (A)</v>
      </c>
    </row>
    <row r="253" spans="1:28" ht="15" customHeight="1" thickBot="1" x14ac:dyDescent="0.25">
      <c r="A253" s="220" t="s">
        <v>114</v>
      </c>
      <c r="B253" s="220"/>
      <c r="C253" s="220"/>
      <c r="D253" s="220"/>
      <c r="E253" s="220"/>
      <c r="F253" s="220"/>
      <c r="G253" s="220"/>
      <c r="H253" s="220"/>
      <c r="I253" s="220"/>
      <c r="J253" s="10"/>
      <c r="K253" s="176">
        <v>12</v>
      </c>
      <c r="L253" s="176">
        <v>12</v>
      </c>
      <c r="M253" s="176">
        <v>12</v>
      </c>
      <c r="N253" s="176">
        <v>12</v>
      </c>
      <c r="O253" s="176">
        <v>12</v>
      </c>
      <c r="P253" s="176">
        <v>12</v>
      </c>
      <c r="Q253" s="176">
        <v>12</v>
      </c>
      <c r="R253" s="176">
        <v>12</v>
      </c>
      <c r="S253" s="176">
        <v>12</v>
      </c>
      <c r="T253" s="176">
        <v>12</v>
      </c>
      <c r="U253" s="176">
        <v>12</v>
      </c>
      <c r="V253" s="176">
        <v>12</v>
      </c>
      <c r="W253" s="176">
        <v>12</v>
      </c>
      <c r="X253" s="176">
        <v>12</v>
      </c>
      <c r="Y253" s="176">
        <v>12</v>
      </c>
      <c r="Z253" s="217"/>
      <c r="AB253" s="175" t="str">
        <f>A253</f>
        <v>1. FSV Mainz</v>
      </c>
    </row>
    <row r="254" spans="1:28" ht="10.5" customHeight="1" x14ac:dyDescent="0.2">
      <c r="A254" s="177">
        <v>1</v>
      </c>
      <c r="B254" s="178" t="s">
        <v>284</v>
      </c>
      <c r="C254" s="178" t="s">
        <v>0</v>
      </c>
      <c r="D254" s="179" t="s">
        <v>59</v>
      </c>
      <c r="E254" s="179" t="s">
        <v>59</v>
      </c>
      <c r="F254" s="180" t="s">
        <v>59</v>
      </c>
      <c r="G254" s="180" t="s">
        <v>59</v>
      </c>
      <c r="H254" s="180"/>
      <c r="I254" s="179"/>
      <c r="J254" s="181"/>
      <c r="K254" s="182"/>
      <c r="L254" s="182"/>
      <c r="M254" s="182"/>
      <c r="N254" s="182"/>
      <c r="O254" s="182"/>
      <c r="P254" s="182"/>
      <c r="Q254" s="182"/>
      <c r="R254" s="182"/>
      <c r="S254" s="182"/>
      <c r="T254" s="182"/>
      <c r="U254" s="182"/>
      <c r="V254" s="182"/>
      <c r="W254" s="182"/>
      <c r="X254" s="182"/>
      <c r="Y254" s="182"/>
      <c r="AB254" s="175" t="str">
        <f t="shared" ref="AB254" si="95">B254</f>
        <v>Lasse Riess</v>
      </c>
    </row>
    <row r="255" spans="1:28" ht="10.5" customHeight="1" x14ac:dyDescent="0.2">
      <c r="A255" s="177">
        <v>27</v>
      </c>
      <c r="B255" s="178" t="s">
        <v>167</v>
      </c>
      <c r="C255" s="178" t="s">
        <v>0</v>
      </c>
      <c r="D255" s="179" t="s">
        <v>59</v>
      </c>
      <c r="E255" s="179" t="s">
        <v>59</v>
      </c>
      <c r="F255" s="180" t="s">
        <v>59</v>
      </c>
      <c r="G255" s="180" t="s">
        <v>59</v>
      </c>
      <c r="H255" s="180"/>
      <c r="I255" s="179"/>
      <c r="J255" s="181"/>
      <c r="K255" s="182"/>
      <c r="L255" s="182"/>
      <c r="M255" s="182"/>
      <c r="N255" s="182"/>
      <c r="O255" s="182"/>
      <c r="P255" s="182">
        <v>1</v>
      </c>
      <c r="Q255" s="182"/>
      <c r="R255" s="182"/>
      <c r="S255" s="182"/>
      <c r="T255" s="182"/>
      <c r="U255" s="182"/>
      <c r="V255" s="182"/>
      <c r="W255" s="182"/>
      <c r="X255" s="182"/>
      <c r="Y255" s="182"/>
      <c r="AB255" s="175" t="str">
        <f t="shared" ref="AB255:AB257" si="96">B255</f>
        <v>Robin Zentner</v>
      </c>
    </row>
    <row r="256" spans="1:28" ht="10.5" customHeight="1" x14ac:dyDescent="0.2">
      <c r="A256" s="177">
        <v>33</v>
      </c>
      <c r="B256" s="178" t="s">
        <v>441</v>
      </c>
      <c r="C256" s="178" t="s">
        <v>0</v>
      </c>
      <c r="D256" s="179" t="s">
        <v>59</v>
      </c>
      <c r="E256" s="179" t="s">
        <v>59</v>
      </c>
      <c r="F256" s="180" t="s">
        <v>59</v>
      </c>
      <c r="G256" s="180" t="s">
        <v>59</v>
      </c>
      <c r="H256" s="180"/>
      <c r="I256" s="179"/>
      <c r="J256" s="181"/>
      <c r="K256" s="182"/>
      <c r="L256" s="182"/>
      <c r="M256" s="182"/>
      <c r="N256" s="182"/>
      <c r="O256" s="182"/>
      <c r="P256" s="182"/>
      <c r="Q256" s="182"/>
      <c r="R256" s="182"/>
      <c r="S256" s="182"/>
      <c r="T256" s="182"/>
      <c r="U256" s="182"/>
      <c r="V256" s="182"/>
      <c r="W256" s="182"/>
      <c r="X256" s="182"/>
      <c r="Y256" s="182"/>
      <c r="AB256" s="175" t="str">
        <f t="shared" si="96"/>
        <v>Daniel Batz</v>
      </c>
    </row>
    <row r="257" spans="1:28" ht="10.5" customHeight="1" x14ac:dyDescent="0.2">
      <c r="A257" s="198">
        <v>2</v>
      </c>
      <c r="B257" s="199" t="s">
        <v>598</v>
      </c>
      <c r="C257" s="185" t="s">
        <v>1</v>
      </c>
      <c r="D257" s="186" t="s">
        <v>59</v>
      </c>
      <c r="E257" s="186" t="s">
        <v>59</v>
      </c>
      <c r="F257" s="187" t="s">
        <v>59</v>
      </c>
      <c r="G257" s="187" t="s">
        <v>59</v>
      </c>
      <c r="H257" s="187"/>
      <c r="I257" s="186"/>
      <c r="J257" s="181"/>
      <c r="K257" s="182"/>
      <c r="L257" s="182"/>
      <c r="M257" s="182"/>
      <c r="N257" s="182"/>
      <c r="O257" s="182"/>
      <c r="P257" s="182"/>
      <c r="Q257" s="182"/>
      <c r="R257" s="182"/>
      <c r="S257" s="182"/>
      <c r="T257" s="182"/>
      <c r="U257" s="182"/>
      <c r="V257" s="182"/>
      <c r="W257" s="182"/>
      <c r="X257" s="182"/>
      <c r="Y257" s="182"/>
      <c r="AB257" s="175" t="str">
        <f t="shared" si="96"/>
        <v>Philipp Mwene (A)</v>
      </c>
    </row>
    <row r="258" spans="1:28" ht="10.5" customHeight="1" x14ac:dyDescent="0.2">
      <c r="A258" s="198">
        <v>3</v>
      </c>
      <c r="B258" s="199" t="s">
        <v>378</v>
      </c>
      <c r="C258" s="185" t="s">
        <v>1</v>
      </c>
      <c r="D258" s="186" t="s">
        <v>59</v>
      </c>
      <c r="E258" s="186" t="s">
        <v>59</v>
      </c>
      <c r="F258" s="187" t="s">
        <v>59</v>
      </c>
      <c r="G258" s="187" t="s">
        <v>59</v>
      </c>
      <c r="H258" s="187"/>
      <c r="I258" s="186"/>
      <c r="J258" s="181"/>
      <c r="K258" s="182"/>
      <c r="L258" s="182"/>
      <c r="M258" s="182"/>
      <c r="N258" s="182"/>
      <c r="O258" s="182"/>
      <c r="P258" s="182"/>
      <c r="Q258" s="182">
        <v>3</v>
      </c>
      <c r="R258" s="182"/>
      <c r="S258" s="182"/>
      <c r="T258" s="182"/>
      <c r="U258" s="182"/>
      <c r="V258" s="182"/>
      <c r="W258" s="182"/>
      <c r="X258" s="182"/>
      <c r="Y258" s="182"/>
      <c r="AB258" s="175" t="str">
        <f t="shared" ref="AB258" si="97">B258</f>
        <v>Sepp van den Berg (A)</v>
      </c>
    </row>
    <row r="259" spans="1:28" ht="10.5" customHeight="1" x14ac:dyDescent="0.2">
      <c r="A259" s="198">
        <v>5</v>
      </c>
      <c r="B259" s="199" t="s">
        <v>301</v>
      </c>
      <c r="C259" s="185" t="s">
        <v>1</v>
      </c>
      <c r="D259" s="186" t="s">
        <v>59</v>
      </c>
      <c r="E259" s="186" t="s">
        <v>59</v>
      </c>
      <c r="F259" s="187" t="s">
        <v>59</v>
      </c>
      <c r="G259" s="187" t="s">
        <v>59</v>
      </c>
      <c r="H259" s="187"/>
      <c r="I259" s="186"/>
      <c r="J259" s="181"/>
      <c r="K259" s="182"/>
      <c r="L259" s="182"/>
      <c r="M259" s="182"/>
      <c r="N259" s="182"/>
      <c r="O259" s="182"/>
      <c r="P259" s="182"/>
      <c r="Q259" s="182"/>
      <c r="R259" s="182"/>
      <c r="S259" s="182"/>
      <c r="T259" s="182"/>
      <c r="U259" s="182"/>
      <c r="V259" s="182"/>
      <c r="W259" s="182"/>
      <c r="X259" s="182"/>
      <c r="Y259" s="182"/>
      <c r="AB259" s="175" t="str">
        <f t="shared" ref="AB259:AB266" si="98">B259</f>
        <v>Maxim Leitsch</v>
      </c>
    </row>
    <row r="260" spans="1:28" ht="10.5" customHeight="1" x14ac:dyDescent="0.2">
      <c r="A260" s="198">
        <v>16</v>
      </c>
      <c r="B260" s="199" t="s">
        <v>107</v>
      </c>
      <c r="C260" s="185" t="s">
        <v>1</v>
      </c>
      <c r="D260" s="186" t="s">
        <v>59</v>
      </c>
      <c r="E260" s="186" t="s">
        <v>59</v>
      </c>
      <c r="F260" s="187" t="s">
        <v>59</v>
      </c>
      <c r="G260" s="187" t="s">
        <v>59</v>
      </c>
      <c r="H260" s="187"/>
      <c r="I260" s="186"/>
      <c r="J260" s="181"/>
      <c r="K260" s="182"/>
      <c r="L260" s="182"/>
      <c r="M260" s="182"/>
      <c r="N260" s="182"/>
      <c r="O260" s="182"/>
      <c r="P260" s="182"/>
      <c r="Q260" s="182"/>
      <c r="R260" s="182"/>
      <c r="S260" s="182"/>
      <c r="T260" s="182"/>
      <c r="U260" s="182"/>
      <c r="V260" s="182"/>
      <c r="W260" s="182"/>
      <c r="X260" s="182"/>
      <c r="Y260" s="182"/>
      <c r="AB260" s="175" t="str">
        <f t="shared" si="98"/>
        <v>Stefan Bell</v>
      </c>
    </row>
    <row r="261" spans="1:28" ht="10.5" customHeight="1" x14ac:dyDescent="0.2">
      <c r="A261" s="198">
        <v>19</v>
      </c>
      <c r="B261" s="199" t="s">
        <v>341</v>
      </c>
      <c r="C261" s="185" t="s">
        <v>1</v>
      </c>
      <c r="D261" s="186" t="s">
        <v>59</v>
      </c>
      <c r="E261" s="186" t="s">
        <v>59</v>
      </c>
      <c r="F261" s="187" t="s">
        <v>59</v>
      </c>
      <c r="G261" s="187" t="s">
        <v>59</v>
      </c>
      <c r="H261" s="187"/>
      <c r="I261" s="186"/>
      <c r="J261" s="181"/>
      <c r="K261" s="182"/>
      <c r="L261" s="182"/>
      <c r="M261" s="182"/>
      <c r="N261" s="182"/>
      <c r="O261" s="182"/>
      <c r="P261" s="182"/>
      <c r="Q261" s="182"/>
      <c r="R261" s="182"/>
      <c r="S261" s="182"/>
      <c r="T261" s="182"/>
      <c r="U261" s="182"/>
      <c r="V261" s="182"/>
      <c r="W261" s="182"/>
      <c r="X261" s="182"/>
      <c r="Y261" s="182"/>
      <c r="AB261" s="175" t="str">
        <f t="shared" si="98"/>
        <v>Anthony Caci (A)</v>
      </c>
    </row>
    <row r="262" spans="1:28" ht="10.5" customHeight="1" x14ac:dyDescent="0.2">
      <c r="A262" s="198">
        <v>20</v>
      </c>
      <c r="B262" s="199" t="s">
        <v>342</v>
      </c>
      <c r="C262" s="185" t="s">
        <v>1</v>
      </c>
      <c r="D262" s="186" t="s">
        <v>59</v>
      </c>
      <c r="E262" s="186" t="s">
        <v>59</v>
      </c>
      <c r="F262" s="187" t="s">
        <v>59</v>
      </c>
      <c r="G262" s="187" t="s">
        <v>59</v>
      </c>
      <c r="H262" s="187"/>
      <c r="I262" s="186"/>
      <c r="J262" s="181"/>
      <c r="K262" s="182"/>
      <c r="L262" s="182"/>
      <c r="M262" s="182"/>
      <c r="N262" s="182"/>
      <c r="O262" s="182"/>
      <c r="P262" s="182"/>
      <c r="Q262" s="182"/>
      <c r="R262" s="182"/>
      <c r="S262" s="182"/>
      <c r="T262" s="182"/>
      <c r="U262" s="182"/>
      <c r="V262" s="182"/>
      <c r="W262" s="182"/>
      <c r="X262" s="182"/>
      <c r="Y262" s="182"/>
      <c r="AB262" s="175" t="str">
        <f t="shared" si="98"/>
        <v>Edimilson Fernandes (A)</v>
      </c>
    </row>
    <row r="263" spans="1:28" ht="10.5" customHeight="1" x14ac:dyDescent="0.2">
      <c r="A263" s="198">
        <v>21</v>
      </c>
      <c r="B263" s="199" t="s">
        <v>127</v>
      </c>
      <c r="C263" s="185" t="s">
        <v>1</v>
      </c>
      <c r="D263" s="186" t="s">
        <v>59</v>
      </c>
      <c r="E263" s="186" t="s">
        <v>59</v>
      </c>
      <c r="F263" s="187" t="s">
        <v>59</v>
      </c>
      <c r="G263" s="187" t="s">
        <v>59</v>
      </c>
      <c r="H263" s="187"/>
      <c r="I263" s="186"/>
      <c r="J263" s="181"/>
      <c r="K263" s="182"/>
      <c r="L263" s="182"/>
      <c r="M263" s="182"/>
      <c r="N263" s="182"/>
      <c r="O263" s="182"/>
      <c r="P263" s="182"/>
      <c r="Q263" s="182"/>
      <c r="R263" s="182"/>
      <c r="S263" s="182"/>
      <c r="T263" s="182"/>
      <c r="U263" s="182"/>
      <c r="V263" s="182"/>
      <c r="W263" s="182"/>
      <c r="X263" s="182"/>
      <c r="Y263" s="182"/>
      <c r="AB263" s="175" t="str">
        <f t="shared" ref="AB263" si="99">B263</f>
        <v>Danny da Costa</v>
      </c>
    </row>
    <row r="264" spans="1:28" ht="10.5" customHeight="1" x14ac:dyDescent="0.2">
      <c r="A264" s="198">
        <v>25</v>
      </c>
      <c r="B264" s="199" t="s">
        <v>399</v>
      </c>
      <c r="C264" s="185" t="s">
        <v>1</v>
      </c>
      <c r="D264" s="186" t="s">
        <v>59</v>
      </c>
      <c r="E264" s="186" t="s">
        <v>59</v>
      </c>
      <c r="F264" s="187" t="s">
        <v>59</v>
      </c>
      <c r="G264" s="187" t="s">
        <v>59</v>
      </c>
      <c r="H264" s="187"/>
      <c r="I264" s="186"/>
      <c r="J264" s="181"/>
      <c r="K264" s="182"/>
      <c r="L264" s="182"/>
      <c r="M264" s="182"/>
      <c r="N264" s="182"/>
      <c r="O264" s="182"/>
      <c r="P264" s="182"/>
      <c r="Q264" s="182"/>
      <c r="R264" s="182"/>
      <c r="S264" s="182"/>
      <c r="T264" s="182"/>
      <c r="U264" s="182"/>
      <c r="V264" s="182"/>
      <c r="W264" s="182"/>
      <c r="X264" s="182"/>
      <c r="Y264" s="182"/>
      <c r="AB264" s="175" t="str">
        <f t="shared" si="98"/>
        <v>Andreas Hanche-Olsen (A)</v>
      </c>
    </row>
    <row r="265" spans="1:28" ht="10.5" customHeight="1" x14ac:dyDescent="0.2">
      <c r="A265" s="198">
        <v>30</v>
      </c>
      <c r="B265" s="199" t="s">
        <v>285</v>
      </c>
      <c r="C265" s="185" t="s">
        <v>1</v>
      </c>
      <c r="D265" s="186" t="s">
        <v>59</v>
      </c>
      <c r="E265" s="186" t="s">
        <v>59</v>
      </c>
      <c r="F265" s="187" t="s">
        <v>59</v>
      </c>
      <c r="G265" s="187" t="s">
        <v>59</v>
      </c>
      <c r="H265" s="187"/>
      <c r="I265" s="186"/>
      <c r="J265" s="181"/>
      <c r="K265" s="182"/>
      <c r="L265" s="182"/>
      <c r="M265" s="182"/>
      <c r="N265" s="182"/>
      <c r="O265" s="182"/>
      <c r="P265" s="182"/>
      <c r="Q265" s="182"/>
      <c r="R265" s="182"/>
      <c r="S265" s="182"/>
      <c r="T265" s="182"/>
      <c r="U265" s="182"/>
      <c r="V265" s="182"/>
      <c r="W265" s="182"/>
      <c r="X265" s="182"/>
      <c r="Y265" s="182"/>
      <c r="AB265" s="175" t="str">
        <f t="shared" ref="AB265" si="100">B265</f>
        <v>Silvan Widmer (A)</v>
      </c>
    </row>
    <row r="266" spans="1:28" ht="10.5" customHeight="1" x14ac:dyDescent="0.2">
      <c r="A266" s="198">
        <v>47</v>
      </c>
      <c r="B266" s="199" t="s">
        <v>633</v>
      </c>
      <c r="C266" s="185" t="s">
        <v>1</v>
      </c>
      <c r="D266" s="186" t="s">
        <v>59</v>
      </c>
      <c r="E266" s="186" t="s">
        <v>59</v>
      </c>
      <c r="F266" s="187" t="s">
        <v>59</v>
      </c>
      <c r="G266" s="187" t="s">
        <v>59</v>
      </c>
      <c r="H266" s="187"/>
      <c r="I266" s="186"/>
      <c r="J266" s="181"/>
      <c r="K266" s="182"/>
      <c r="L266" s="182"/>
      <c r="M266" s="182"/>
      <c r="N266" s="182"/>
      <c r="O266" s="182"/>
      <c r="P266" s="182"/>
      <c r="Q266" s="182"/>
      <c r="R266" s="182"/>
      <c r="S266" s="182"/>
      <c r="T266" s="182"/>
      <c r="U266" s="182"/>
      <c r="V266" s="182"/>
      <c r="W266" s="182"/>
      <c r="X266" s="182"/>
      <c r="Y266" s="182"/>
      <c r="AB266" s="175" t="str">
        <f t="shared" si="98"/>
        <v>Lasse Wilhelm</v>
      </c>
    </row>
    <row r="267" spans="1:28" ht="10.5" customHeight="1" x14ac:dyDescent="0.2">
      <c r="A267" s="200">
        <v>7</v>
      </c>
      <c r="B267" s="190" t="s">
        <v>287</v>
      </c>
      <c r="C267" s="190" t="s">
        <v>2</v>
      </c>
      <c r="D267" s="191" t="s">
        <v>59</v>
      </c>
      <c r="E267" s="191" t="s">
        <v>59</v>
      </c>
      <c r="F267" s="192" t="s">
        <v>59</v>
      </c>
      <c r="G267" s="192" t="s">
        <v>59</v>
      </c>
      <c r="H267" s="192"/>
      <c r="I267" s="191"/>
      <c r="J267" s="181"/>
      <c r="K267" s="182">
        <v>5</v>
      </c>
      <c r="L267" s="182"/>
      <c r="M267" s="182"/>
      <c r="N267" s="182"/>
      <c r="O267" s="182"/>
      <c r="P267" s="182"/>
      <c r="Q267" s="182"/>
      <c r="R267" s="182"/>
      <c r="S267" s="182"/>
      <c r="T267" s="182"/>
      <c r="U267" s="182"/>
      <c r="V267" s="182"/>
      <c r="W267" s="182"/>
      <c r="X267" s="182"/>
      <c r="Y267" s="182"/>
      <c r="AB267" s="175" t="str">
        <f t="shared" ref="AB267:AB272" si="101">B267</f>
        <v>Jae-Sung Lee</v>
      </c>
    </row>
    <row r="268" spans="1:28" ht="10.5" customHeight="1" x14ac:dyDescent="0.2">
      <c r="A268" s="200">
        <v>8</v>
      </c>
      <c r="B268" s="190" t="s">
        <v>219</v>
      </c>
      <c r="C268" s="190" t="s">
        <v>2</v>
      </c>
      <c r="D268" s="191" t="s">
        <v>59</v>
      </c>
      <c r="E268" s="191" t="s">
        <v>59</v>
      </c>
      <c r="F268" s="192" t="s">
        <v>59</v>
      </c>
      <c r="G268" s="192" t="s">
        <v>59</v>
      </c>
      <c r="H268" s="192"/>
      <c r="I268" s="191"/>
      <c r="J268" s="181"/>
      <c r="K268" s="182"/>
      <c r="L268" s="182"/>
      <c r="M268" s="182">
        <v>5</v>
      </c>
      <c r="N268" s="182"/>
      <c r="O268" s="182"/>
      <c r="P268" s="182"/>
      <c r="Q268" s="182"/>
      <c r="R268" s="182"/>
      <c r="S268" s="182"/>
      <c r="T268" s="182"/>
      <c r="U268" s="182"/>
      <c r="V268" s="182"/>
      <c r="W268" s="182"/>
      <c r="X268" s="182"/>
      <c r="Y268" s="182"/>
      <c r="AB268" s="175" t="str">
        <f t="shared" si="101"/>
        <v>Leandro Barreiro (A)</v>
      </c>
    </row>
    <row r="269" spans="1:28" ht="10.5" customHeight="1" x14ac:dyDescent="0.2">
      <c r="A269" s="200">
        <v>10</v>
      </c>
      <c r="B269" s="190" t="s">
        <v>562</v>
      </c>
      <c r="C269" s="190" t="s">
        <v>2</v>
      </c>
      <c r="D269" s="191" t="s">
        <v>59</v>
      </c>
      <c r="E269" s="191" t="s">
        <v>59</v>
      </c>
      <c r="F269" s="192" t="s">
        <v>59</v>
      </c>
      <c r="G269" s="192" t="s">
        <v>59</v>
      </c>
      <c r="H269" s="192"/>
      <c r="I269" s="191"/>
      <c r="J269" s="181"/>
      <c r="K269" s="182"/>
      <c r="L269" s="182"/>
      <c r="M269" s="182"/>
      <c r="N269" s="182"/>
      <c r="O269" s="182"/>
      <c r="P269" s="182"/>
      <c r="Q269" s="182"/>
      <c r="R269" s="182"/>
      <c r="S269" s="182"/>
      <c r="T269" s="182"/>
      <c r="U269" s="182"/>
      <c r="V269" s="182"/>
      <c r="W269" s="182"/>
      <c r="X269" s="182"/>
      <c r="Y269" s="182"/>
      <c r="AB269" s="175" t="str">
        <f t="shared" ref="AB269" si="102">B269</f>
        <v>Marco Richter</v>
      </c>
    </row>
    <row r="270" spans="1:28" ht="10.5" customHeight="1" x14ac:dyDescent="0.2">
      <c r="A270" s="200">
        <v>14</v>
      </c>
      <c r="B270" s="190" t="s">
        <v>357</v>
      </c>
      <c r="C270" s="190" t="s">
        <v>2</v>
      </c>
      <c r="D270" s="191" t="s">
        <v>59</v>
      </c>
      <c r="E270" s="191" t="s">
        <v>59</v>
      </c>
      <c r="F270" s="192" t="s">
        <v>59</v>
      </c>
      <c r="G270" s="192" t="s">
        <v>59</v>
      </c>
      <c r="H270" s="192"/>
      <c r="I270" s="191"/>
      <c r="J270" s="181"/>
      <c r="K270" s="182"/>
      <c r="L270" s="182"/>
      <c r="M270" s="182"/>
      <c r="N270" s="182"/>
      <c r="O270" s="182"/>
      <c r="P270" s="182"/>
      <c r="Q270" s="182"/>
      <c r="R270" s="182"/>
      <c r="S270" s="182"/>
      <c r="T270" s="182"/>
      <c r="U270" s="182"/>
      <c r="V270" s="182"/>
      <c r="W270" s="182"/>
      <c r="X270" s="182"/>
      <c r="Y270" s="182"/>
      <c r="AB270" s="175" t="str">
        <f t="shared" si="101"/>
        <v>Tom Krauss</v>
      </c>
    </row>
    <row r="271" spans="1:28" ht="10.5" customHeight="1" x14ac:dyDescent="0.2">
      <c r="A271" s="200">
        <v>18</v>
      </c>
      <c r="B271" s="190" t="s">
        <v>329</v>
      </c>
      <c r="C271" s="190" t="s">
        <v>2</v>
      </c>
      <c r="D271" s="191" t="s">
        <v>59</v>
      </c>
      <c r="E271" s="191" t="s">
        <v>59</v>
      </c>
      <c r="F271" s="192" t="s">
        <v>59</v>
      </c>
      <c r="G271" s="192" t="s">
        <v>59</v>
      </c>
      <c r="H271" s="192"/>
      <c r="I271" s="191"/>
      <c r="J271" s="181"/>
      <c r="K271" s="182"/>
      <c r="L271" s="182"/>
      <c r="M271" s="182"/>
      <c r="N271" s="182"/>
      <c r="O271" s="182"/>
      <c r="P271" s="182"/>
      <c r="Q271" s="182"/>
      <c r="R271" s="182"/>
      <c r="S271" s="182"/>
      <c r="T271" s="182"/>
      <c r="U271" s="182"/>
      <c r="V271" s="182"/>
      <c r="W271" s="182"/>
      <c r="X271" s="182"/>
      <c r="Y271" s="182"/>
      <c r="AB271" s="175" t="str">
        <f t="shared" ref="AB271" si="103">B271</f>
        <v>Nadiem Amiri</v>
      </c>
    </row>
    <row r="272" spans="1:28" ht="10.5" customHeight="1" x14ac:dyDescent="0.2">
      <c r="A272" s="200">
        <v>24</v>
      </c>
      <c r="B272" s="190" t="s">
        <v>561</v>
      </c>
      <c r="C272" s="190" t="s">
        <v>2</v>
      </c>
      <c r="D272" s="191" t="s">
        <v>59</v>
      </c>
      <c r="E272" s="191" t="s">
        <v>59</v>
      </c>
      <c r="F272" s="192" t="s">
        <v>59</v>
      </c>
      <c r="G272" s="192" t="s">
        <v>59</v>
      </c>
      <c r="H272" s="192"/>
      <c r="I272" s="191"/>
      <c r="J272" s="181"/>
      <c r="K272" s="182"/>
      <c r="L272" s="182"/>
      <c r="M272" s="182"/>
      <c r="N272" s="182"/>
      <c r="O272" s="182"/>
      <c r="P272" s="182"/>
      <c r="Q272" s="182"/>
      <c r="R272" s="182"/>
      <c r="S272" s="182"/>
      <c r="T272" s="182"/>
      <c r="U272" s="182"/>
      <c r="V272" s="182"/>
      <c r="W272" s="182"/>
      <c r="X272" s="182"/>
      <c r="Y272" s="182"/>
      <c r="AB272" s="175" t="str">
        <f t="shared" si="101"/>
        <v>Merveille Papela</v>
      </c>
    </row>
    <row r="273" spans="1:28" ht="10.5" customHeight="1" x14ac:dyDescent="0.2">
      <c r="A273" s="200">
        <v>31</v>
      </c>
      <c r="B273" s="190" t="s">
        <v>110</v>
      </c>
      <c r="C273" s="190" t="s">
        <v>2</v>
      </c>
      <c r="D273" s="191" t="s">
        <v>59</v>
      </c>
      <c r="E273" s="191" t="s">
        <v>59</v>
      </c>
      <c r="F273" s="192" t="s">
        <v>59</v>
      </c>
      <c r="G273" s="192" t="s">
        <v>59</v>
      </c>
      <c r="H273" s="192"/>
      <c r="I273" s="191"/>
      <c r="J273" s="181"/>
      <c r="K273" s="182"/>
      <c r="L273" s="182"/>
      <c r="M273" s="182"/>
      <c r="N273" s="182"/>
      <c r="O273" s="182"/>
      <c r="P273" s="182"/>
      <c r="Q273" s="182"/>
      <c r="R273" s="182"/>
      <c r="S273" s="182"/>
      <c r="T273" s="182"/>
      <c r="U273" s="182"/>
      <c r="V273" s="182"/>
      <c r="W273" s="182"/>
      <c r="X273" s="182"/>
      <c r="Y273" s="182"/>
      <c r="AB273" s="175" t="str">
        <f t="shared" ref="AB273:AB275" si="104">B273</f>
        <v>Dominik Kohr</v>
      </c>
    </row>
    <row r="274" spans="1:28" ht="10.5" customHeight="1" x14ac:dyDescent="0.2">
      <c r="A274" s="200">
        <v>41</v>
      </c>
      <c r="B274" s="190" t="s">
        <v>316</v>
      </c>
      <c r="C274" s="190" t="s">
        <v>2</v>
      </c>
      <c r="D274" s="191" t="s">
        <v>59</v>
      </c>
      <c r="E274" s="191" t="s">
        <v>59</v>
      </c>
      <c r="F274" s="192" t="s">
        <v>59</v>
      </c>
      <c r="G274" s="192" t="s">
        <v>59</v>
      </c>
      <c r="H274" s="192"/>
      <c r="I274" s="191"/>
      <c r="J274" s="181"/>
      <c r="K274" s="182"/>
      <c r="L274" s="182"/>
      <c r="M274" s="182"/>
      <c r="N274" s="182"/>
      <c r="O274" s="182"/>
      <c r="P274" s="182"/>
      <c r="Q274" s="182"/>
      <c r="R274" s="182"/>
      <c r="S274" s="182"/>
      <c r="T274" s="182"/>
      <c r="U274" s="182"/>
      <c r="V274" s="182"/>
      <c r="W274" s="182"/>
      <c r="X274" s="182"/>
      <c r="Y274" s="182"/>
      <c r="AB274" s="175" t="str">
        <f t="shared" si="104"/>
        <v>Eniss Shabani</v>
      </c>
    </row>
    <row r="275" spans="1:28" ht="10.5" customHeight="1" x14ac:dyDescent="0.2">
      <c r="A275" s="200">
        <v>45</v>
      </c>
      <c r="B275" s="190" t="s">
        <v>545</v>
      </c>
      <c r="C275" s="190" t="s">
        <v>2</v>
      </c>
      <c r="D275" s="191" t="s">
        <v>59</v>
      </c>
      <c r="E275" s="191" t="s">
        <v>59</v>
      </c>
      <c r="F275" s="192" t="s">
        <v>59</v>
      </c>
      <c r="G275" s="192" t="s">
        <v>59</v>
      </c>
      <c r="H275" s="192"/>
      <c r="I275" s="191"/>
      <c r="J275" s="181"/>
      <c r="K275" s="182"/>
      <c r="L275" s="182"/>
      <c r="M275" s="182"/>
      <c r="N275" s="182"/>
      <c r="O275" s="182"/>
      <c r="P275" s="182"/>
      <c r="Q275" s="182"/>
      <c r="R275" s="182"/>
      <c r="S275" s="182"/>
      <c r="T275" s="182"/>
      <c r="U275" s="182"/>
      <c r="V275" s="182"/>
      <c r="W275" s="182"/>
      <c r="X275" s="182"/>
      <c r="Y275" s="182"/>
      <c r="AB275" s="175" t="str">
        <f t="shared" si="104"/>
        <v>David Mamutovic</v>
      </c>
    </row>
    <row r="276" spans="1:28" ht="10.5" customHeight="1" x14ac:dyDescent="0.2">
      <c r="A276" s="201">
        <v>9</v>
      </c>
      <c r="B276" s="195" t="s">
        <v>135</v>
      </c>
      <c r="C276" s="195" t="s">
        <v>3</v>
      </c>
      <c r="D276" s="196" t="s">
        <v>59</v>
      </c>
      <c r="E276" s="196" t="s">
        <v>59</v>
      </c>
      <c r="F276" s="197" t="s">
        <v>59</v>
      </c>
      <c r="G276" s="197" t="s">
        <v>59</v>
      </c>
      <c r="H276" s="197"/>
      <c r="I276" s="196"/>
      <c r="J276" s="181"/>
      <c r="K276" s="182"/>
      <c r="L276" s="182"/>
      <c r="M276" s="182"/>
      <c r="N276" s="182"/>
      <c r="O276" s="182"/>
      <c r="P276" s="182"/>
      <c r="Q276" s="182"/>
      <c r="R276" s="182"/>
      <c r="S276" s="182"/>
      <c r="T276" s="182"/>
      <c r="U276" s="182"/>
      <c r="V276" s="182"/>
      <c r="W276" s="182"/>
      <c r="X276" s="182"/>
      <c r="Y276" s="182"/>
      <c r="AB276" s="175" t="str">
        <f>B276</f>
        <v>Karim Onisiwo (A)</v>
      </c>
    </row>
    <row r="277" spans="1:28" ht="10.5" customHeight="1" x14ac:dyDescent="0.2">
      <c r="A277" s="201">
        <v>11</v>
      </c>
      <c r="B277" s="195" t="s">
        <v>221</v>
      </c>
      <c r="C277" s="195" t="s">
        <v>3</v>
      </c>
      <c r="D277" s="196" t="s">
        <v>59</v>
      </c>
      <c r="E277" s="196" t="s">
        <v>59</v>
      </c>
      <c r="F277" s="197" t="s">
        <v>59</v>
      </c>
      <c r="G277" s="197" t="s">
        <v>59</v>
      </c>
      <c r="H277" s="197"/>
      <c r="I277" s="196"/>
      <c r="J277" s="181"/>
      <c r="K277" s="182"/>
      <c r="L277" s="182"/>
      <c r="M277" s="182"/>
      <c r="N277" s="182"/>
      <c r="O277" s="182"/>
      <c r="P277" s="182"/>
      <c r="Q277" s="182"/>
      <c r="R277" s="182"/>
      <c r="S277" s="182"/>
      <c r="T277" s="182"/>
      <c r="U277" s="182"/>
      <c r="V277" s="182"/>
      <c r="W277" s="182"/>
      <c r="X277" s="182"/>
      <c r="Y277" s="182"/>
      <c r="AB277" s="175" t="str">
        <f t="shared" ref="AB277" si="105">B277</f>
        <v>Jessic Ngankam</v>
      </c>
    </row>
    <row r="278" spans="1:28" ht="10.5" customHeight="1" x14ac:dyDescent="0.2">
      <c r="A278" s="201">
        <v>17</v>
      </c>
      <c r="B278" s="195" t="s">
        <v>392</v>
      </c>
      <c r="C278" s="195" t="s">
        <v>3</v>
      </c>
      <c r="D278" s="196" t="s">
        <v>59</v>
      </c>
      <c r="E278" s="196" t="s">
        <v>59</v>
      </c>
      <c r="F278" s="197" t="s">
        <v>59</v>
      </c>
      <c r="G278" s="197" t="s">
        <v>59</v>
      </c>
      <c r="H278" s="197"/>
      <c r="I278" s="196"/>
      <c r="J278" s="181"/>
      <c r="K278" s="182"/>
      <c r="L278" s="182"/>
      <c r="M278" s="182"/>
      <c r="N278" s="182"/>
      <c r="O278" s="182"/>
      <c r="P278" s="182"/>
      <c r="Q278" s="182"/>
      <c r="R278" s="182"/>
      <c r="S278" s="182"/>
      <c r="T278" s="182"/>
      <c r="U278" s="182"/>
      <c r="V278" s="182"/>
      <c r="W278" s="182"/>
      <c r="X278" s="182"/>
      <c r="Y278" s="182"/>
      <c r="AB278" s="175" t="str">
        <f t="shared" ref="AB278:AB283" si="106">B278</f>
        <v>Ludovic Ajorque (A)</v>
      </c>
    </row>
    <row r="279" spans="1:28" ht="10.5" customHeight="1" x14ac:dyDescent="0.2">
      <c r="A279" s="201">
        <v>29</v>
      </c>
      <c r="B279" s="195" t="s">
        <v>196</v>
      </c>
      <c r="C279" s="195" t="s">
        <v>3</v>
      </c>
      <c r="D279" s="196" t="s">
        <v>59</v>
      </c>
      <c r="E279" s="196" t="s">
        <v>59</v>
      </c>
      <c r="F279" s="197" t="s">
        <v>59</v>
      </c>
      <c r="G279" s="197" t="s">
        <v>59</v>
      </c>
      <c r="H279" s="197"/>
      <c r="I279" s="196"/>
      <c r="J279" s="181"/>
      <c r="K279" s="182"/>
      <c r="L279" s="182"/>
      <c r="M279" s="182"/>
      <c r="N279" s="182"/>
      <c r="O279" s="182"/>
      <c r="P279" s="182">
        <v>9</v>
      </c>
      <c r="Q279" s="182"/>
      <c r="R279" s="182"/>
      <c r="S279" s="182"/>
      <c r="T279" s="182"/>
      <c r="U279" s="182"/>
      <c r="V279" s="182"/>
      <c r="W279" s="182"/>
      <c r="X279" s="182"/>
      <c r="Y279" s="182"/>
      <c r="AB279" s="175" t="str">
        <f t="shared" ref="AB279:AB280" si="107">B279</f>
        <v>Jonathan Burkardt</v>
      </c>
    </row>
    <row r="280" spans="1:28" ht="10.5" customHeight="1" x14ac:dyDescent="0.2">
      <c r="A280" s="201">
        <v>34</v>
      </c>
      <c r="B280" s="195" t="s">
        <v>614</v>
      </c>
      <c r="C280" s="195" t="s">
        <v>3</v>
      </c>
      <c r="D280" s="196" t="s">
        <v>59</v>
      </c>
      <c r="E280" s="196" t="s">
        <v>59</v>
      </c>
      <c r="F280" s="197" t="s">
        <v>59</v>
      </c>
      <c r="G280" s="197" t="s">
        <v>59</v>
      </c>
      <c r="H280" s="197"/>
      <c r="I280" s="196"/>
      <c r="J280" s="181"/>
      <c r="K280" s="182"/>
      <c r="L280" s="182"/>
      <c r="M280" s="182"/>
      <c r="N280" s="182"/>
      <c r="O280" s="182"/>
      <c r="P280" s="182"/>
      <c r="Q280" s="182"/>
      <c r="R280" s="182"/>
      <c r="S280" s="182"/>
      <c r="T280" s="182"/>
      <c r="U280" s="182"/>
      <c r="V280" s="182"/>
      <c r="W280" s="182"/>
      <c r="X280" s="182"/>
      <c r="Y280" s="182"/>
      <c r="AB280" s="175" t="str">
        <f t="shared" si="107"/>
        <v>Anwar El Ghazi (A)</v>
      </c>
    </row>
    <row r="281" spans="1:28" ht="10.5" customHeight="1" x14ac:dyDescent="0.2">
      <c r="A281" s="201">
        <v>43</v>
      </c>
      <c r="B281" s="195" t="s">
        <v>394</v>
      </c>
      <c r="C281" s="195" t="s">
        <v>3</v>
      </c>
      <c r="D281" s="196" t="s">
        <v>59</v>
      </c>
      <c r="E281" s="196" t="s">
        <v>59</v>
      </c>
      <c r="F281" s="197" t="s">
        <v>59</v>
      </c>
      <c r="G281" s="197" t="s">
        <v>59</v>
      </c>
      <c r="H281" s="197"/>
      <c r="I281" s="196"/>
      <c r="J281" s="181"/>
      <c r="K281" s="182"/>
      <c r="L281" s="182"/>
      <c r="M281" s="182"/>
      <c r="N281" s="182"/>
      <c r="O281" s="182"/>
      <c r="P281" s="182"/>
      <c r="Q281" s="182"/>
      <c r="R281" s="182"/>
      <c r="S281" s="182"/>
      <c r="T281" s="182"/>
      <c r="U281" s="182"/>
      <c r="V281" s="182"/>
      <c r="W281" s="182"/>
      <c r="X281" s="182"/>
      <c r="Y281" s="182"/>
      <c r="AB281" s="175" t="str">
        <f t="shared" si="106"/>
        <v>Brajan Gruda</v>
      </c>
    </row>
    <row r="282" spans="1:28" ht="10.5" customHeight="1" x14ac:dyDescent="0.2">
      <c r="A282" s="201">
        <v>44</v>
      </c>
      <c r="B282" s="195" t="s">
        <v>382</v>
      </c>
      <c r="C282" s="195" t="s">
        <v>3</v>
      </c>
      <c r="D282" s="196" t="s">
        <v>59</v>
      </c>
      <c r="E282" s="196" t="s">
        <v>59</v>
      </c>
      <c r="F282" s="197" t="s">
        <v>59</v>
      </c>
      <c r="G282" s="197" t="s">
        <v>59</v>
      </c>
      <c r="H282" s="197"/>
      <c r="I282" s="196"/>
      <c r="J282" s="181"/>
      <c r="K282" s="182"/>
      <c r="L282" s="182"/>
      <c r="M282" s="182"/>
      <c r="N282" s="182"/>
      <c r="O282" s="182"/>
      <c r="P282" s="182"/>
      <c r="Q282" s="182"/>
      <c r="R282" s="182"/>
      <c r="S282" s="182"/>
      <c r="T282" s="182"/>
      <c r="U282" s="182"/>
      <c r="V282" s="182"/>
      <c r="W282" s="182"/>
      <c r="X282" s="182"/>
      <c r="Y282" s="182"/>
      <c r="AB282" s="175" t="str">
        <f t="shared" ref="AB282" si="108">B282</f>
        <v>Nelson Weiper</v>
      </c>
    </row>
    <row r="283" spans="1:28" ht="10.5" customHeight="1" x14ac:dyDescent="0.2">
      <c r="A283" s="201">
        <v>48</v>
      </c>
      <c r="B283" s="195" t="s">
        <v>634</v>
      </c>
      <c r="C283" s="195" t="s">
        <v>3</v>
      </c>
      <c r="D283" s="196" t="s">
        <v>59</v>
      </c>
      <c r="E283" s="196" t="s">
        <v>59</v>
      </c>
      <c r="F283" s="197" t="s">
        <v>59</v>
      </c>
      <c r="G283" s="197" t="s">
        <v>59</v>
      </c>
      <c r="H283" s="197"/>
      <c r="I283" s="196"/>
      <c r="J283" s="181"/>
      <c r="K283" s="182"/>
      <c r="L283" s="182"/>
      <c r="M283" s="182"/>
      <c r="N283" s="182"/>
      <c r="O283" s="182"/>
      <c r="P283" s="182"/>
      <c r="Q283" s="182"/>
      <c r="R283" s="182"/>
      <c r="S283" s="182"/>
      <c r="T283" s="182"/>
      <c r="U283" s="182"/>
      <c r="V283" s="182"/>
      <c r="W283" s="182"/>
      <c r="X283" s="182"/>
      <c r="Y283" s="182"/>
      <c r="AB283" s="175" t="str">
        <f t="shared" si="106"/>
        <v>Marcel Müller</v>
      </c>
    </row>
    <row r="284" spans="1:28" ht="15" customHeight="1" thickBot="1" x14ac:dyDescent="0.25">
      <c r="A284" s="219" t="s">
        <v>69</v>
      </c>
      <c r="B284" s="219"/>
      <c r="C284" s="219"/>
      <c r="D284" s="219"/>
      <c r="E284" s="219"/>
      <c r="F284" s="219"/>
      <c r="G284" s="219"/>
      <c r="H284" s="219"/>
      <c r="I284" s="219"/>
      <c r="J284" s="10"/>
      <c r="K284" s="176">
        <v>12</v>
      </c>
      <c r="L284" s="176">
        <v>12</v>
      </c>
      <c r="M284" s="176">
        <v>12</v>
      </c>
      <c r="N284" s="176">
        <v>12</v>
      </c>
      <c r="O284" s="176">
        <v>12</v>
      </c>
      <c r="P284" s="176">
        <v>12</v>
      </c>
      <c r="Q284" s="176">
        <v>12</v>
      </c>
      <c r="R284" s="176">
        <v>12</v>
      </c>
      <c r="S284" s="176">
        <v>12</v>
      </c>
      <c r="T284" s="176">
        <v>12</v>
      </c>
      <c r="U284" s="176"/>
      <c r="V284" s="176">
        <v>12</v>
      </c>
      <c r="W284" s="176">
        <v>12</v>
      </c>
      <c r="X284" s="176">
        <v>12</v>
      </c>
      <c r="Y284" s="176">
        <v>12</v>
      </c>
      <c r="Z284" s="217"/>
      <c r="AB284" s="175" t="str">
        <f>A284</f>
        <v>Bor. M'gladbach</v>
      </c>
    </row>
    <row r="285" spans="1:28" ht="10.5" customHeight="1" x14ac:dyDescent="0.2">
      <c r="A285" s="177">
        <v>1</v>
      </c>
      <c r="B285" s="178" t="s">
        <v>388</v>
      </c>
      <c r="C285" s="178" t="s">
        <v>0</v>
      </c>
      <c r="D285" s="179" t="s">
        <v>59</v>
      </c>
      <c r="E285" s="179" t="s">
        <v>59</v>
      </c>
      <c r="F285" s="180" t="s">
        <v>59</v>
      </c>
      <c r="G285" s="180" t="s">
        <v>59</v>
      </c>
      <c r="H285" s="180"/>
      <c r="I285" s="179"/>
      <c r="J285" s="181"/>
      <c r="K285" s="182"/>
      <c r="L285" s="182"/>
      <c r="M285" s="182"/>
      <c r="N285" s="182"/>
      <c r="O285" s="182"/>
      <c r="P285" s="182"/>
      <c r="Q285" s="182"/>
      <c r="R285" s="182"/>
      <c r="S285" s="182"/>
      <c r="T285" s="182"/>
      <c r="U285" s="182"/>
      <c r="V285" s="182"/>
      <c r="W285" s="182"/>
      <c r="X285" s="182"/>
      <c r="Y285" s="182"/>
      <c r="AB285" s="175" t="str">
        <f t="shared" ref="AB285:AB302" si="109">B285</f>
        <v>Jonas Omlin (A)</v>
      </c>
    </row>
    <row r="286" spans="1:28" ht="10.5" customHeight="1" x14ac:dyDescent="0.2">
      <c r="A286" s="177">
        <v>21</v>
      </c>
      <c r="B286" s="178" t="s">
        <v>124</v>
      </c>
      <c r="C286" s="178" t="s">
        <v>0</v>
      </c>
      <c r="D286" s="179" t="s">
        <v>59</v>
      </c>
      <c r="E286" s="179" t="s">
        <v>59</v>
      </c>
      <c r="F286" s="180" t="s">
        <v>59</v>
      </c>
      <c r="G286" s="180" t="s">
        <v>59</v>
      </c>
      <c r="H286" s="180"/>
      <c r="I286" s="179"/>
      <c r="J286" s="181"/>
      <c r="K286" s="182"/>
      <c r="L286" s="182"/>
      <c r="M286" s="182"/>
      <c r="N286" s="182"/>
      <c r="O286" s="182"/>
      <c r="P286" s="182"/>
      <c r="Q286" s="182"/>
      <c r="R286" s="182"/>
      <c r="S286" s="182"/>
      <c r="T286" s="182"/>
      <c r="U286" s="182"/>
      <c r="V286" s="182"/>
      <c r="W286" s="182"/>
      <c r="X286" s="182"/>
      <c r="Y286" s="182"/>
      <c r="AB286" s="175" t="str">
        <f t="shared" ref="AB286:AB289" si="110">B286</f>
        <v>Tobias Sippel</v>
      </c>
    </row>
    <row r="287" spans="1:28" ht="10.5" customHeight="1" x14ac:dyDescent="0.2">
      <c r="A287" s="177">
        <v>33</v>
      </c>
      <c r="B287" s="178" t="s">
        <v>442</v>
      </c>
      <c r="C287" s="178" t="s">
        <v>0</v>
      </c>
      <c r="D287" s="179" t="s">
        <v>59</v>
      </c>
      <c r="E287" s="179" t="s">
        <v>59</v>
      </c>
      <c r="F287" s="180" t="s">
        <v>59</v>
      </c>
      <c r="G287" s="180" t="s">
        <v>59</v>
      </c>
      <c r="H287" s="180"/>
      <c r="I287" s="179"/>
      <c r="J287" s="181"/>
      <c r="K287" s="182"/>
      <c r="L287" s="182"/>
      <c r="M287" s="182"/>
      <c r="N287" s="182"/>
      <c r="O287" s="182"/>
      <c r="P287" s="182"/>
      <c r="Q287" s="182"/>
      <c r="R287" s="182"/>
      <c r="S287" s="182"/>
      <c r="T287" s="182"/>
      <c r="U287" s="182"/>
      <c r="V287" s="182"/>
      <c r="W287" s="182"/>
      <c r="X287" s="182"/>
      <c r="Y287" s="182"/>
      <c r="AB287" s="175" t="str">
        <f t="shared" si="110"/>
        <v>Moritz Nicolas</v>
      </c>
    </row>
    <row r="288" spans="1:28" ht="10.5" customHeight="1" x14ac:dyDescent="0.2">
      <c r="A288" s="177">
        <v>41</v>
      </c>
      <c r="B288" s="178" t="s">
        <v>229</v>
      </c>
      <c r="C288" s="178" t="s">
        <v>0</v>
      </c>
      <c r="D288" s="179" t="s">
        <v>59</v>
      </c>
      <c r="E288" s="179" t="s">
        <v>59</v>
      </c>
      <c r="F288" s="180" t="s">
        <v>59</v>
      </c>
      <c r="G288" s="180" t="s">
        <v>59</v>
      </c>
      <c r="H288" s="180"/>
      <c r="I288" s="179"/>
      <c r="J288" s="181"/>
      <c r="K288" s="182"/>
      <c r="L288" s="182"/>
      <c r="M288" s="182"/>
      <c r="N288" s="182"/>
      <c r="O288" s="182"/>
      <c r="P288" s="182"/>
      <c r="Q288" s="182"/>
      <c r="R288" s="182"/>
      <c r="S288" s="182"/>
      <c r="T288" s="182"/>
      <c r="U288" s="182"/>
      <c r="V288" s="182"/>
      <c r="W288" s="182"/>
      <c r="X288" s="182"/>
      <c r="Y288" s="182"/>
      <c r="AB288" s="175" t="str">
        <f t="shared" ref="AB288" si="111">B288</f>
        <v>Jan Olschowsky</v>
      </c>
    </row>
    <row r="289" spans="1:28" ht="10.5" customHeight="1" x14ac:dyDescent="0.2">
      <c r="A289" s="177">
        <v>43</v>
      </c>
      <c r="B289" s="178" t="s">
        <v>443</v>
      </c>
      <c r="C289" s="178" t="s">
        <v>0</v>
      </c>
      <c r="D289" s="179" t="s">
        <v>59</v>
      </c>
      <c r="E289" s="179" t="s">
        <v>59</v>
      </c>
      <c r="F289" s="180" t="s">
        <v>59</v>
      </c>
      <c r="G289" s="180" t="s">
        <v>59</v>
      </c>
      <c r="H289" s="180"/>
      <c r="I289" s="179"/>
      <c r="J289" s="181"/>
      <c r="K289" s="182"/>
      <c r="L289" s="182"/>
      <c r="M289" s="182"/>
      <c r="N289" s="182"/>
      <c r="O289" s="182"/>
      <c r="P289" s="182"/>
      <c r="Q289" s="182"/>
      <c r="R289" s="182"/>
      <c r="S289" s="182"/>
      <c r="T289" s="182"/>
      <c r="U289" s="182"/>
      <c r="V289" s="182"/>
      <c r="W289" s="182"/>
      <c r="X289" s="182"/>
      <c r="Y289" s="182"/>
      <c r="AB289" s="175" t="str">
        <f t="shared" si="110"/>
        <v>Max Brüll</v>
      </c>
    </row>
    <row r="290" spans="1:28" ht="10.5" customHeight="1" x14ac:dyDescent="0.2">
      <c r="A290" s="198">
        <v>2</v>
      </c>
      <c r="B290" s="199" t="s">
        <v>367</v>
      </c>
      <c r="C290" s="185" t="s">
        <v>1</v>
      </c>
      <c r="D290" s="186" t="s">
        <v>59</v>
      </c>
      <c r="E290" s="186" t="s">
        <v>59</v>
      </c>
      <c r="F290" s="187" t="s">
        <v>59</v>
      </c>
      <c r="G290" s="187" t="s">
        <v>59</v>
      </c>
      <c r="H290" s="187"/>
      <c r="I290" s="186"/>
      <c r="J290" s="181"/>
      <c r="K290" s="182"/>
      <c r="L290" s="182"/>
      <c r="M290" s="182"/>
      <c r="N290" s="182"/>
      <c r="O290" s="182"/>
      <c r="P290" s="182"/>
      <c r="Q290" s="182"/>
      <c r="R290" s="182"/>
      <c r="S290" s="182"/>
      <c r="T290" s="182"/>
      <c r="U290" s="182"/>
      <c r="V290" s="182"/>
      <c r="W290" s="182"/>
      <c r="X290" s="182"/>
      <c r="Y290" s="182"/>
      <c r="AB290" s="175" t="str">
        <f t="shared" ref="AB290:AB295" si="112">B290</f>
        <v>Fabio Chiarodia</v>
      </c>
    </row>
    <row r="291" spans="1:28" ht="10.5" customHeight="1" x14ac:dyDescent="0.2">
      <c r="A291" s="198">
        <v>3</v>
      </c>
      <c r="B291" s="199" t="s">
        <v>345</v>
      </c>
      <c r="C291" s="185" t="s">
        <v>1</v>
      </c>
      <c r="D291" s="186" t="s">
        <v>59</v>
      </c>
      <c r="E291" s="186" t="s">
        <v>59</v>
      </c>
      <c r="F291" s="187" t="s">
        <v>59</v>
      </c>
      <c r="G291" s="187" t="s">
        <v>59</v>
      </c>
      <c r="H291" s="187"/>
      <c r="I291" s="186"/>
      <c r="J291" s="181"/>
      <c r="K291" s="182"/>
      <c r="L291" s="182"/>
      <c r="M291" s="182"/>
      <c r="N291" s="182"/>
      <c r="O291" s="182"/>
      <c r="P291" s="182"/>
      <c r="Q291" s="182"/>
      <c r="R291" s="182"/>
      <c r="S291" s="182"/>
      <c r="T291" s="182"/>
      <c r="U291" s="182"/>
      <c r="V291" s="182"/>
      <c r="W291" s="182"/>
      <c r="X291" s="182"/>
      <c r="Y291" s="182"/>
      <c r="AB291" s="175" t="str">
        <f t="shared" si="112"/>
        <v>Ko Itakura (A)</v>
      </c>
    </row>
    <row r="292" spans="1:28" ht="10.5" customHeight="1" x14ac:dyDescent="0.2">
      <c r="A292" s="198">
        <v>5</v>
      </c>
      <c r="B292" s="199" t="s">
        <v>207</v>
      </c>
      <c r="C292" s="185" t="s">
        <v>1</v>
      </c>
      <c r="D292" s="186" t="s">
        <v>59</v>
      </c>
      <c r="E292" s="186" t="s">
        <v>59</v>
      </c>
      <c r="F292" s="187" t="s">
        <v>59</v>
      </c>
      <c r="G292" s="187" t="s">
        <v>59</v>
      </c>
      <c r="H292" s="187"/>
      <c r="I292" s="186"/>
      <c r="J292" s="181"/>
      <c r="K292" s="182"/>
      <c r="L292" s="182"/>
      <c r="M292" s="182"/>
      <c r="N292" s="182"/>
      <c r="O292" s="182"/>
      <c r="P292" s="182"/>
      <c r="Q292" s="182"/>
      <c r="R292" s="182"/>
      <c r="S292" s="182"/>
      <c r="T292" s="182"/>
      <c r="U292" s="182"/>
      <c r="V292" s="182"/>
      <c r="W292" s="182"/>
      <c r="X292" s="182"/>
      <c r="Y292" s="182"/>
      <c r="AB292" s="175" t="str">
        <f t="shared" si="112"/>
        <v>Marvin Friedrich</v>
      </c>
    </row>
    <row r="293" spans="1:28" ht="10.5" customHeight="1" x14ac:dyDescent="0.2">
      <c r="A293" s="198">
        <v>18</v>
      </c>
      <c r="B293" s="199" t="s">
        <v>186</v>
      </c>
      <c r="C293" s="185" t="s">
        <v>1</v>
      </c>
      <c r="D293" s="186" t="s">
        <v>59</v>
      </c>
      <c r="E293" s="186" t="s">
        <v>59</v>
      </c>
      <c r="F293" s="187" t="s">
        <v>59</v>
      </c>
      <c r="G293" s="187" t="s">
        <v>59</v>
      </c>
      <c r="H293" s="187"/>
      <c r="I293" s="186"/>
      <c r="J293" s="181"/>
      <c r="K293" s="182"/>
      <c r="L293" s="182"/>
      <c r="M293" s="182"/>
      <c r="N293" s="182"/>
      <c r="O293" s="182"/>
      <c r="P293" s="182"/>
      <c r="Q293" s="182"/>
      <c r="R293" s="182"/>
      <c r="S293" s="182"/>
      <c r="T293" s="182"/>
      <c r="U293" s="182"/>
      <c r="V293" s="182"/>
      <c r="W293" s="182"/>
      <c r="X293" s="182"/>
      <c r="Y293" s="182"/>
      <c r="AB293" s="175" t="str">
        <f t="shared" si="112"/>
        <v>Stefan Lainer (A)</v>
      </c>
    </row>
    <row r="294" spans="1:28" ht="10.5" customHeight="1" x14ac:dyDescent="0.2">
      <c r="A294" s="198">
        <v>20</v>
      </c>
      <c r="B294" s="199" t="s">
        <v>223</v>
      </c>
      <c r="C294" s="185" t="s">
        <v>1</v>
      </c>
      <c r="D294" s="186" t="s">
        <v>59</v>
      </c>
      <c r="E294" s="186" t="s">
        <v>59</v>
      </c>
      <c r="F294" s="187" t="s">
        <v>59</v>
      </c>
      <c r="G294" s="187" t="s">
        <v>59</v>
      </c>
      <c r="H294" s="187"/>
      <c r="I294" s="186"/>
      <c r="J294" s="181"/>
      <c r="K294" s="182"/>
      <c r="L294" s="182"/>
      <c r="M294" s="182"/>
      <c r="N294" s="182"/>
      <c r="O294" s="182"/>
      <c r="P294" s="182"/>
      <c r="Q294" s="182"/>
      <c r="R294" s="182"/>
      <c r="S294" s="182"/>
      <c r="T294" s="182"/>
      <c r="U294" s="182"/>
      <c r="V294" s="182"/>
      <c r="W294" s="182"/>
      <c r="X294" s="182"/>
      <c r="Y294" s="182"/>
      <c r="AB294" s="175" t="str">
        <f t="shared" si="112"/>
        <v>Luca Netz</v>
      </c>
    </row>
    <row r="295" spans="1:28" ht="10.5" customHeight="1" x14ac:dyDescent="0.2">
      <c r="A295" s="198">
        <v>24</v>
      </c>
      <c r="B295" s="199" t="s">
        <v>82</v>
      </c>
      <c r="C295" s="185" t="s">
        <v>1</v>
      </c>
      <c r="D295" s="186" t="s">
        <v>59</v>
      </c>
      <c r="E295" s="186" t="s">
        <v>59</v>
      </c>
      <c r="F295" s="187" t="s">
        <v>59</v>
      </c>
      <c r="G295" s="187" t="s">
        <v>59</v>
      </c>
      <c r="H295" s="187"/>
      <c r="I295" s="186"/>
      <c r="J295" s="181"/>
      <c r="K295" s="182"/>
      <c r="L295" s="182"/>
      <c r="M295" s="182"/>
      <c r="N295" s="182"/>
      <c r="O295" s="182"/>
      <c r="P295" s="182"/>
      <c r="Q295" s="182"/>
      <c r="R295" s="182"/>
      <c r="S295" s="182"/>
      <c r="T295" s="182"/>
      <c r="U295" s="182"/>
      <c r="V295" s="182"/>
      <c r="W295" s="182"/>
      <c r="X295" s="182"/>
      <c r="Y295" s="182"/>
      <c r="AB295" s="175" t="str">
        <f t="shared" si="112"/>
        <v>Tony Jantschke</v>
      </c>
    </row>
    <row r="296" spans="1:28" ht="10.5" customHeight="1" x14ac:dyDescent="0.2">
      <c r="A296" s="198">
        <v>26</v>
      </c>
      <c r="B296" s="199" t="s">
        <v>444</v>
      </c>
      <c r="C296" s="185" t="s">
        <v>1</v>
      </c>
      <c r="D296" s="186" t="s">
        <v>59</v>
      </c>
      <c r="E296" s="186" t="s">
        <v>59</v>
      </c>
      <c r="F296" s="187" t="s">
        <v>59</v>
      </c>
      <c r="G296" s="187" t="s">
        <v>59</v>
      </c>
      <c r="H296" s="187"/>
      <c r="I296" s="186"/>
      <c r="J296" s="181"/>
      <c r="K296" s="182"/>
      <c r="L296" s="182"/>
      <c r="M296" s="182"/>
      <c r="N296" s="182"/>
      <c r="O296" s="182"/>
      <c r="P296" s="182"/>
      <c r="Q296" s="182"/>
      <c r="R296" s="182"/>
      <c r="S296" s="182"/>
      <c r="T296" s="182"/>
      <c r="U296" s="182"/>
      <c r="V296" s="182"/>
      <c r="W296" s="182"/>
      <c r="X296" s="182"/>
      <c r="Y296" s="182"/>
      <c r="AB296" s="175" t="str">
        <f t="shared" ref="AB296:AB300" si="113">B296</f>
        <v>Lukas Ullrich</v>
      </c>
    </row>
    <row r="297" spans="1:28" ht="10.5" customHeight="1" x14ac:dyDescent="0.2">
      <c r="A297" s="198">
        <v>29</v>
      </c>
      <c r="B297" s="199" t="s">
        <v>255</v>
      </c>
      <c r="C297" s="185" t="s">
        <v>1</v>
      </c>
      <c r="D297" s="186" t="s">
        <v>59</v>
      </c>
      <c r="E297" s="186" t="s">
        <v>59</v>
      </c>
      <c r="F297" s="187" t="s">
        <v>59</v>
      </c>
      <c r="G297" s="187" t="s">
        <v>59</v>
      </c>
      <c r="H297" s="187"/>
      <c r="I297" s="186"/>
      <c r="J297" s="181"/>
      <c r="K297" s="182"/>
      <c r="L297" s="182"/>
      <c r="M297" s="182"/>
      <c r="N297" s="182"/>
      <c r="O297" s="182"/>
      <c r="P297" s="182"/>
      <c r="Q297" s="182"/>
      <c r="R297" s="182"/>
      <c r="S297" s="182"/>
      <c r="T297" s="182"/>
      <c r="U297" s="182"/>
      <c r="V297" s="182"/>
      <c r="W297" s="182"/>
      <c r="X297" s="182"/>
      <c r="Y297" s="182"/>
      <c r="AB297" s="175" t="str">
        <f t="shared" si="113"/>
        <v>Joe Scally (A)</v>
      </c>
    </row>
    <row r="298" spans="1:28" ht="10.5" customHeight="1" x14ac:dyDescent="0.2">
      <c r="A298" s="198">
        <v>30</v>
      </c>
      <c r="B298" s="199" t="s">
        <v>125</v>
      </c>
      <c r="C298" s="185" t="s">
        <v>1</v>
      </c>
      <c r="D298" s="186" t="s">
        <v>59</v>
      </c>
      <c r="E298" s="186" t="s">
        <v>59</v>
      </c>
      <c r="F298" s="187" t="s">
        <v>59</v>
      </c>
      <c r="G298" s="187" t="s">
        <v>59</v>
      </c>
      <c r="H298" s="187"/>
      <c r="I298" s="186"/>
      <c r="J298" s="181"/>
      <c r="K298" s="182"/>
      <c r="L298" s="182"/>
      <c r="M298" s="182"/>
      <c r="N298" s="182"/>
      <c r="O298" s="182"/>
      <c r="P298" s="182"/>
      <c r="Q298" s="182"/>
      <c r="R298" s="182"/>
      <c r="S298" s="182"/>
      <c r="T298" s="182"/>
      <c r="U298" s="182"/>
      <c r="V298" s="182"/>
      <c r="W298" s="182"/>
      <c r="X298" s="182"/>
      <c r="Y298" s="182"/>
      <c r="AB298" s="175" t="str">
        <f t="shared" si="113"/>
        <v>Nico Elvedi (A)</v>
      </c>
    </row>
    <row r="299" spans="1:28" ht="10.5" customHeight="1" x14ac:dyDescent="0.2">
      <c r="A299" s="198">
        <v>39</v>
      </c>
      <c r="B299" s="199" t="s">
        <v>445</v>
      </c>
      <c r="C299" s="185" t="s">
        <v>1</v>
      </c>
      <c r="D299" s="186" t="s">
        <v>59</v>
      </c>
      <c r="E299" s="186" t="s">
        <v>59</v>
      </c>
      <c r="F299" s="187" t="s">
        <v>59</v>
      </c>
      <c r="G299" s="187" t="s">
        <v>59</v>
      </c>
      <c r="H299" s="187"/>
      <c r="I299" s="186"/>
      <c r="J299" s="181"/>
      <c r="K299" s="182"/>
      <c r="L299" s="182"/>
      <c r="M299" s="182"/>
      <c r="N299" s="182"/>
      <c r="O299" s="182"/>
      <c r="P299" s="182"/>
      <c r="Q299" s="182"/>
      <c r="R299" s="182"/>
      <c r="S299" s="182"/>
      <c r="T299" s="182"/>
      <c r="U299" s="182"/>
      <c r="V299" s="182"/>
      <c r="W299" s="182"/>
      <c r="X299" s="182"/>
      <c r="Y299" s="182"/>
      <c r="AB299" s="175" t="str">
        <f t="shared" si="113"/>
        <v>Maximilian Wöber (A)</v>
      </c>
    </row>
    <row r="300" spans="1:28" ht="10.5" customHeight="1" x14ac:dyDescent="0.2">
      <c r="A300" s="198">
        <v>45</v>
      </c>
      <c r="B300" s="199" t="s">
        <v>446</v>
      </c>
      <c r="C300" s="185" t="s">
        <v>1</v>
      </c>
      <c r="D300" s="186" t="s">
        <v>59</v>
      </c>
      <c r="E300" s="186" t="s">
        <v>59</v>
      </c>
      <c r="F300" s="187" t="s">
        <v>59</v>
      </c>
      <c r="G300" s="187" t="s">
        <v>59</v>
      </c>
      <c r="H300" s="187"/>
      <c r="I300" s="186"/>
      <c r="J300" s="181"/>
      <c r="K300" s="182"/>
      <c r="L300" s="182"/>
      <c r="M300" s="182"/>
      <c r="N300" s="182"/>
      <c r="O300" s="182"/>
      <c r="P300" s="182"/>
      <c r="Q300" s="182"/>
      <c r="R300" s="182"/>
      <c r="S300" s="182"/>
      <c r="T300" s="182"/>
      <c r="U300" s="182"/>
      <c r="V300" s="182"/>
      <c r="W300" s="182"/>
      <c r="X300" s="182"/>
      <c r="Y300" s="182"/>
      <c r="AB300" s="175" t="str">
        <f t="shared" si="113"/>
        <v>Simon Walde</v>
      </c>
    </row>
    <row r="301" spans="1:28" ht="10.5" customHeight="1" x14ac:dyDescent="0.2">
      <c r="A301" s="200">
        <v>8</v>
      </c>
      <c r="B301" s="190" t="s">
        <v>377</v>
      </c>
      <c r="C301" s="190" t="s">
        <v>2</v>
      </c>
      <c r="D301" s="191" t="s">
        <v>59</v>
      </c>
      <c r="E301" s="191" t="s">
        <v>59</v>
      </c>
      <c r="F301" s="192" t="s">
        <v>59</v>
      </c>
      <c r="G301" s="192" t="s">
        <v>59</v>
      </c>
      <c r="H301" s="192"/>
      <c r="I301" s="191"/>
      <c r="J301" s="181"/>
      <c r="K301" s="182"/>
      <c r="L301" s="182"/>
      <c r="M301" s="182"/>
      <c r="N301" s="182"/>
      <c r="O301" s="182"/>
      <c r="P301" s="182"/>
      <c r="Q301" s="182"/>
      <c r="R301" s="182"/>
      <c r="S301" s="182"/>
      <c r="T301" s="182"/>
      <c r="U301" s="182"/>
      <c r="V301" s="182"/>
      <c r="W301" s="182"/>
      <c r="X301" s="182"/>
      <c r="Y301" s="182"/>
      <c r="AB301" s="175" t="str">
        <f t="shared" si="109"/>
        <v>Julian Weigl</v>
      </c>
    </row>
    <row r="302" spans="1:28" ht="10.5" customHeight="1" x14ac:dyDescent="0.2">
      <c r="A302" s="200">
        <v>9</v>
      </c>
      <c r="B302" s="190" t="s">
        <v>447</v>
      </c>
      <c r="C302" s="190" t="s">
        <v>2</v>
      </c>
      <c r="D302" s="191" t="s">
        <v>59</v>
      </c>
      <c r="E302" s="191" t="s">
        <v>59</v>
      </c>
      <c r="F302" s="192" t="s">
        <v>59</v>
      </c>
      <c r="G302" s="192" t="s">
        <v>59</v>
      </c>
      <c r="H302" s="192"/>
      <c r="I302" s="191"/>
      <c r="J302" s="181"/>
      <c r="K302" s="182"/>
      <c r="L302" s="182"/>
      <c r="M302" s="182"/>
      <c r="N302" s="182"/>
      <c r="O302" s="182"/>
      <c r="P302" s="182"/>
      <c r="Q302" s="182"/>
      <c r="R302" s="182"/>
      <c r="S302" s="182"/>
      <c r="T302" s="182"/>
      <c r="U302" s="182"/>
      <c r="V302" s="182"/>
      <c r="W302" s="182"/>
      <c r="X302" s="182"/>
      <c r="Y302" s="182"/>
      <c r="AB302" s="175" t="str">
        <f t="shared" si="109"/>
        <v>Franck Honorat (A)</v>
      </c>
    </row>
    <row r="303" spans="1:28" ht="10.5" customHeight="1" x14ac:dyDescent="0.2">
      <c r="A303" s="200">
        <v>10</v>
      </c>
      <c r="B303" s="190" t="s">
        <v>164</v>
      </c>
      <c r="C303" s="190" t="s">
        <v>2</v>
      </c>
      <c r="D303" s="191" t="s">
        <v>59</v>
      </c>
      <c r="E303" s="191" t="s">
        <v>59</v>
      </c>
      <c r="F303" s="192" t="s">
        <v>59</v>
      </c>
      <c r="G303" s="192" t="s">
        <v>59</v>
      </c>
      <c r="H303" s="192"/>
      <c r="I303" s="191"/>
      <c r="J303" s="181"/>
      <c r="K303" s="182"/>
      <c r="L303" s="182"/>
      <c r="M303" s="182"/>
      <c r="N303" s="182"/>
      <c r="O303" s="182"/>
      <c r="P303" s="182"/>
      <c r="Q303" s="182"/>
      <c r="R303" s="182"/>
      <c r="S303" s="182"/>
      <c r="T303" s="182"/>
      <c r="U303" s="182"/>
      <c r="V303" s="182"/>
      <c r="W303" s="182"/>
      <c r="X303" s="182"/>
      <c r="Y303" s="182"/>
      <c r="AB303" s="175" t="str">
        <f>B303</f>
        <v>Florian Neuhaus</v>
      </c>
    </row>
    <row r="304" spans="1:28" ht="10.5" customHeight="1" x14ac:dyDescent="0.2">
      <c r="A304" s="200">
        <v>17</v>
      </c>
      <c r="B304" s="190" t="s">
        <v>586</v>
      </c>
      <c r="C304" s="190" t="s">
        <v>2</v>
      </c>
      <c r="D304" s="191" t="s">
        <v>59</v>
      </c>
      <c r="E304" s="191" t="s">
        <v>59</v>
      </c>
      <c r="F304" s="192" t="s">
        <v>59</v>
      </c>
      <c r="G304" s="192" t="s">
        <v>59</v>
      </c>
      <c r="H304" s="192"/>
      <c r="I304" s="191"/>
      <c r="J304" s="181"/>
      <c r="K304" s="182"/>
      <c r="L304" s="182"/>
      <c r="M304" s="182"/>
      <c r="N304" s="182"/>
      <c r="O304" s="182"/>
      <c r="P304" s="182"/>
      <c r="Q304" s="182"/>
      <c r="R304" s="182"/>
      <c r="S304" s="182"/>
      <c r="T304" s="182"/>
      <c r="U304" s="182"/>
      <c r="V304" s="182"/>
      <c r="W304" s="182"/>
      <c r="X304" s="182"/>
      <c r="Y304" s="182"/>
      <c r="AB304" s="175" t="str">
        <f t="shared" ref="AB304:AB306" si="114">B304</f>
        <v>Manu Koné (A)</v>
      </c>
    </row>
    <row r="305" spans="1:28" ht="10.5" customHeight="1" x14ac:dyDescent="0.2">
      <c r="A305" s="200">
        <v>19</v>
      </c>
      <c r="B305" s="190" t="s">
        <v>376</v>
      </c>
      <c r="C305" s="190" t="s">
        <v>2</v>
      </c>
      <c r="D305" s="191" t="s">
        <v>59</v>
      </c>
      <c r="E305" s="191" t="s">
        <v>59</v>
      </c>
      <c r="F305" s="192" t="s">
        <v>59</v>
      </c>
      <c r="G305" s="192" t="s">
        <v>59</v>
      </c>
      <c r="H305" s="192"/>
      <c r="I305" s="191"/>
      <c r="J305" s="181"/>
      <c r="K305" s="182"/>
      <c r="L305" s="182"/>
      <c r="M305" s="182"/>
      <c r="N305" s="182"/>
      <c r="O305" s="182"/>
      <c r="P305" s="182"/>
      <c r="Q305" s="182"/>
      <c r="R305" s="182"/>
      <c r="S305" s="182"/>
      <c r="T305" s="182"/>
      <c r="U305" s="182"/>
      <c r="V305" s="182"/>
      <c r="W305" s="182"/>
      <c r="X305" s="182"/>
      <c r="Y305" s="182"/>
      <c r="AB305" s="175" t="str">
        <f t="shared" si="114"/>
        <v>Nathan Ngoumou (A)</v>
      </c>
    </row>
    <row r="306" spans="1:28" ht="10.5" customHeight="1" x14ac:dyDescent="0.2">
      <c r="A306" s="200">
        <v>23</v>
      </c>
      <c r="B306" s="190" t="s">
        <v>113</v>
      </c>
      <c r="C306" s="190" t="s">
        <v>2</v>
      </c>
      <c r="D306" s="191" t="s">
        <v>59</v>
      </c>
      <c r="E306" s="191" t="s">
        <v>59</v>
      </c>
      <c r="F306" s="192" t="s">
        <v>59</v>
      </c>
      <c r="G306" s="192" t="s">
        <v>59</v>
      </c>
      <c r="H306" s="192"/>
      <c r="I306" s="191"/>
      <c r="J306" s="181"/>
      <c r="K306" s="182"/>
      <c r="L306" s="182"/>
      <c r="M306" s="182"/>
      <c r="N306" s="182"/>
      <c r="O306" s="182"/>
      <c r="P306" s="182"/>
      <c r="Q306" s="182"/>
      <c r="R306" s="182"/>
      <c r="S306" s="182"/>
      <c r="T306" s="182"/>
      <c r="U306" s="182"/>
      <c r="V306" s="182"/>
      <c r="W306" s="182"/>
      <c r="X306" s="182"/>
      <c r="Y306" s="182"/>
      <c r="AB306" s="175" t="str">
        <f t="shared" si="114"/>
        <v>Christoph Kramer</v>
      </c>
    </row>
    <row r="307" spans="1:28" ht="10.5" customHeight="1" x14ac:dyDescent="0.2">
      <c r="A307" s="200">
        <v>25</v>
      </c>
      <c r="B307" s="190" t="s">
        <v>448</v>
      </c>
      <c r="C307" s="190" t="s">
        <v>2</v>
      </c>
      <c r="D307" s="191" t="s">
        <v>59</v>
      </c>
      <c r="E307" s="191" t="s">
        <v>59</v>
      </c>
      <c r="F307" s="192" t="s">
        <v>59</v>
      </c>
      <c r="G307" s="192" t="s">
        <v>59</v>
      </c>
      <c r="H307" s="192"/>
      <c r="I307" s="191"/>
      <c r="J307" s="181"/>
      <c r="K307" s="182"/>
      <c r="L307" s="182"/>
      <c r="M307" s="182"/>
      <c r="N307" s="182"/>
      <c r="O307" s="182"/>
      <c r="P307" s="182"/>
      <c r="Q307" s="182"/>
      <c r="R307" s="182"/>
      <c r="S307" s="182"/>
      <c r="T307" s="182"/>
      <c r="U307" s="182"/>
      <c r="V307" s="182"/>
      <c r="W307" s="182"/>
      <c r="X307" s="182"/>
      <c r="Y307" s="182"/>
      <c r="AB307" s="175" t="str">
        <f t="shared" ref="AB307:AB308" si="115">B307</f>
        <v>Robin Hack</v>
      </c>
    </row>
    <row r="308" spans="1:28" ht="10.5" customHeight="1" x14ac:dyDescent="0.2">
      <c r="A308" s="200">
        <v>27</v>
      </c>
      <c r="B308" s="190" t="s">
        <v>449</v>
      </c>
      <c r="C308" s="190" t="s">
        <v>2</v>
      </c>
      <c r="D308" s="191" t="s">
        <v>59</v>
      </c>
      <c r="E308" s="191" t="s">
        <v>59</v>
      </c>
      <c r="F308" s="192" t="s">
        <v>59</v>
      </c>
      <c r="G308" s="192" t="s">
        <v>59</v>
      </c>
      <c r="H308" s="192"/>
      <c r="I308" s="191"/>
      <c r="J308" s="181"/>
      <c r="K308" s="182"/>
      <c r="L308" s="182"/>
      <c r="M308" s="182"/>
      <c r="N308" s="182"/>
      <c r="O308" s="182"/>
      <c r="P308" s="182"/>
      <c r="Q308" s="182"/>
      <c r="R308" s="182"/>
      <c r="S308" s="182"/>
      <c r="T308" s="182"/>
      <c r="U308" s="182"/>
      <c r="V308" s="182"/>
      <c r="W308" s="182"/>
      <c r="X308" s="182"/>
      <c r="Y308" s="182"/>
      <c r="AB308" s="175" t="str">
        <f t="shared" si="115"/>
        <v>Rocco Reitz</v>
      </c>
    </row>
    <row r="309" spans="1:28" ht="10.5" customHeight="1" x14ac:dyDescent="0.2">
      <c r="A309" s="201">
        <v>7</v>
      </c>
      <c r="B309" s="195" t="s">
        <v>91</v>
      </c>
      <c r="C309" s="195" t="s">
        <v>3</v>
      </c>
      <c r="D309" s="196" t="s">
        <v>59</v>
      </c>
      <c r="E309" s="196" t="s">
        <v>59</v>
      </c>
      <c r="F309" s="197" t="s">
        <v>59</v>
      </c>
      <c r="G309" s="197" t="s">
        <v>59</v>
      </c>
      <c r="H309" s="197"/>
      <c r="I309" s="196"/>
      <c r="J309" s="181"/>
      <c r="K309" s="182"/>
      <c r="L309" s="182"/>
      <c r="M309" s="182"/>
      <c r="N309" s="182"/>
      <c r="O309" s="182"/>
      <c r="P309" s="182"/>
      <c r="Q309" s="182"/>
      <c r="R309" s="182"/>
      <c r="S309" s="182"/>
      <c r="T309" s="182"/>
      <c r="U309" s="182"/>
      <c r="V309" s="182"/>
      <c r="W309" s="182"/>
      <c r="X309" s="182"/>
      <c r="Y309" s="182"/>
      <c r="AB309" s="175" t="str">
        <f>B309</f>
        <v>Patrick Herrmann</v>
      </c>
    </row>
    <row r="310" spans="1:28" ht="10.5" customHeight="1" x14ac:dyDescent="0.2">
      <c r="A310" s="201">
        <v>13</v>
      </c>
      <c r="B310" s="195" t="s">
        <v>335</v>
      </c>
      <c r="C310" s="195" t="s">
        <v>3</v>
      </c>
      <c r="D310" s="196" t="s">
        <v>59</v>
      </c>
      <c r="E310" s="196" t="s">
        <v>59</v>
      </c>
      <c r="F310" s="197" t="s">
        <v>59</v>
      </c>
      <c r="G310" s="197" t="s">
        <v>59</v>
      </c>
      <c r="H310" s="197"/>
      <c r="I310" s="196"/>
      <c r="J310" s="181"/>
      <c r="K310" s="182"/>
      <c r="L310" s="182"/>
      <c r="M310" s="182"/>
      <c r="N310" s="182"/>
      <c r="O310" s="182"/>
      <c r="P310" s="182"/>
      <c r="Q310" s="182"/>
      <c r="R310" s="182"/>
      <c r="S310" s="182"/>
      <c r="T310" s="182"/>
      <c r="U310" s="182"/>
      <c r="V310" s="182"/>
      <c r="W310" s="182"/>
      <c r="X310" s="182"/>
      <c r="Y310" s="182"/>
      <c r="AB310" s="175" t="str">
        <f t="shared" ref="AB310" si="116">B310</f>
        <v>Jordan Siebatcheu (A)</v>
      </c>
    </row>
    <row r="311" spans="1:28" ht="10.5" customHeight="1" x14ac:dyDescent="0.2">
      <c r="A311" s="201">
        <v>14</v>
      </c>
      <c r="B311" s="195" t="s">
        <v>165</v>
      </c>
      <c r="C311" s="195" t="s">
        <v>3</v>
      </c>
      <c r="D311" s="196" t="s">
        <v>59</v>
      </c>
      <c r="E311" s="196" t="s">
        <v>59</v>
      </c>
      <c r="F311" s="197" t="s">
        <v>59</v>
      </c>
      <c r="G311" s="197" t="s">
        <v>59</v>
      </c>
      <c r="H311" s="197"/>
      <c r="I311" s="196"/>
      <c r="J311" s="181"/>
      <c r="K311" s="182"/>
      <c r="L311" s="182"/>
      <c r="M311" s="182"/>
      <c r="N311" s="182"/>
      <c r="O311" s="182"/>
      <c r="P311" s="182"/>
      <c r="Q311" s="182"/>
      <c r="R311" s="182"/>
      <c r="S311" s="182"/>
      <c r="T311" s="182"/>
      <c r="U311" s="182"/>
      <c r="V311" s="182"/>
      <c r="W311" s="182"/>
      <c r="X311" s="182"/>
      <c r="Y311" s="182"/>
      <c r="AB311" s="175" t="str">
        <f t="shared" ref="AB311:AB314" si="117">B311</f>
        <v>Alassane Plea (A)</v>
      </c>
    </row>
    <row r="312" spans="1:28" ht="10.5" customHeight="1" x14ac:dyDescent="0.2">
      <c r="A312" s="201">
        <v>28</v>
      </c>
      <c r="B312" s="195" t="s">
        <v>450</v>
      </c>
      <c r="C312" s="195" t="s">
        <v>3</v>
      </c>
      <c r="D312" s="196" t="s">
        <v>59</v>
      </c>
      <c r="E312" s="196" t="s">
        <v>59</v>
      </c>
      <c r="F312" s="197" t="s">
        <v>59</v>
      </c>
      <c r="G312" s="197" t="s">
        <v>59</v>
      </c>
      <c r="H312" s="197"/>
      <c r="I312" s="196"/>
      <c r="J312" s="181"/>
      <c r="K312" s="182"/>
      <c r="L312" s="182"/>
      <c r="M312" s="182"/>
      <c r="N312" s="182"/>
      <c r="O312" s="182"/>
      <c r="P312" s="182"/>
      <c r="Q312" s="182"/>
      <c r="R312" s="182"/>
      <c r="S312" s="182"/>
      <c r="T312" s="182"/>
      <c r="U312" s="182"/>
      <c r="V312" s="182"/>
      <c r="W312" s="182"/>
      <c r="X312" s="182"/>
      <c r="Y312" s="182"/>
      <c r="AB312" s="175" t="str">
        <f t="shared" ref="AB312:AB313" si="118">B312</f>
        <v>Grant-Leon Ranos</v>
      </c>
    </row>
    <row r="313" spans="1:28" ht="10.5" customHeight="1" x14ac:dyDescent="0.2">
      <c r="A313" s="201">
        <v>31</v>
      </c>
      <c r="B313" s="195" t="s">
        <v>585</v>
      </c>
      <c r="C313" s="195" t="s">
        <v>3</v>
      </c>
      <c r="D313" s="196" t="s">
        <v>59</v>
      </c>
      <c r="E313" s="196" t="s">
        <v>59</v>
      </c>
      <c r="F313" s="197" t="s">
        <v>59</v>
      </c>
      <c r="G313" s="197" t="s">
        <v>59</v>
      </c>
      <c r="H313" s="197"/>
      <c r="I313" s="196"/>
      <c r="J313" s="181"/>
      <c r="K313" s="182"/>
      <c r="L313" s="182"/>
      <c r="M313" s="182"/>
      <c r="N313" s="182"/>
      <c r="O313" s="182"/>
      <c r="P313" s="182"/>
      <c r="Q313" s="182"/>
      <c r="R313" s="182"/>
      <c r="S313" s="182"/>
      <c r="T313" s="182"/>
      <c r="U313" s="182"/>
      <c r="V313" s="182"/>
      <c r="W313" s="182"/>
      <c r="X313" s="182"/>
      <c r="Y313" s="182"/>
      <c r="AB313" s="175" t="str">
        <f t="shared" si="118"/>
        <v>Tomáš Čvančara (A)</v>
      </c>
    </row>
    <row r="314" spans="1:28" ht="10.5" customHeight="1" x14ac:dyDescent="0.2">
      <c r="A314" s="201">
        <v>49</v>
      </c>
      <c r="B314" s="195" t="s">
        <v>652</v>
      </c>
      <c r="C314" s="195" t="s">
        <v>3</v>
      </c>
      <c r="D314" s="196" t="s">
        <v>59</v>
      </c>
      <c r="E314" s="196" t="s">
        <v>59</v>
      </c>
      <c r="F314" s="197" t="s">
        <v>59</v>
      </c>
      <c r="G314" s="197" t="s">
        <v>59</v>
      </c>
      <c r="H314" s="197"/>
      <c r="I314" s="196"/>
      <c r="J314" s="181"/>
      <c r="K314" s="182"/>
      <c r="L314" s="182"/>
      <c r="M314" s="182"/>
      <c r="N314" s="182"/>
      <c r="O314" s="182"/>
      <c r="P314" s="182"/>
      <c r="Q314" s="182"/>
      <c r="R314" s="182"/>
      <c r="S314" s="182"/>
      <c r="T314" s="182"/>
      <c r="U314" s="182"/>
      <c r="V314" s="182"/>
      <c r="W314" s="182"/>
      <c r="X314" s="182"/>
      <c r="Y314" s="182"/>
      <c r="AB314" s="175" t="str">
        <f t="shared" si="117"/>
        <v>Shio Fukuda (A)</v>
      </c>
    </row>
    <row r="315" spans="1:28" ht="15" customHeight="1" thickBot="1" x14ac:dyDescent="0.25">
      <c r="A315" s="220" t="s">
        <v>181</v>
      </c>
      <c r="B315" s="220"/>
      <c r="C315" s="220"/>
      <c r="D315" s="220"/>
      <c r="E315" s="220"/>
      <c r="F315" s="220"/>
      <c r="G315" s="220"/>
      <c r="H315" s="220"/>
      <c r="I315" s="220"/>
      <c r="J315" s="10"/>
      <c r="K315" s="176">
        <v>12</v>
      </c>
      <c r="L315" s="176">
        <v>12</v>
      </c>
      <c r="M315" s="176">
        <v>12</v>
      </c>
      <c r="N315" s="176">
        <v>12</v>
      </c>
      <c r="O315" s="176">
        <v>12</v>
      </c>
      <c r="P315" s="176">
        <v>12</v>
      </c>
      <c r="Q315" s="176">
        <v>12</v>
      </c>
      <c r="R315" s="176">
        <v>12</v>
      </c>
      <c r="S315" s="176">
        <v>12</v>
      </c>
      <c r="T315" s="176">
        <v>12</v>
      </c>
      <c r="U315" s="176">
        <v>12</v>
      </c>
      <c r="V315" s="176">
        <v>12</v>
      </c>
      <c r="W315" s="176">
        <v>12</v>
      </c>
      <c r="X315" s="176">
        <v>12</v>
      </c>
      <c r="Y315" s="176">
        <v>12</v>
      </c>
      <c r="Z315" s="217"/>
      <c r="AB315" s="175" t="str">
        <f>A315</f>
        <v>1.FC Köln</v>
      </c>
    </row>
    <row r="316" spans="1:28" ht="10.5" customHeight="1" x14ac:dyDescent="0.2">
      <c r="A316" s="177">
        <v>1</v>
      </c>
      <c r="B316" s="178" t="s">
        <v>291</v>
      </c>
      <c r="C316" s="178" t="s">
        <v>0</v>
      </c>
      <c r="D316" s="179" t="s">
        <v>59</v>
      </c>
      <c r="E316" s="179" t="s">
        <v>59</v>
      </c>
      <c r="F316" s="180" t="s">
        <v>59</v>
      </c>
      <c r="G316" s="180" t="s">
        <v>59</v>
      </c>
      <c r="H316" s="180"/>
      <c r="I316" s="179"/>
      <c r="J316" s="181"/>
      <c r="K316" s="182"/>
      <c r="L316" s="182"/>
      <c r="M316" s="182"/>
      <c r="N316" s="182"/>
      <c r="O316" s="182"/>
      <c r="P316" s="182"/>
      <c r="Q316" s="182"/>
      <c r="R316" s="182"/>
      <c r="S316" s="182"/>
      <c r="T316" s="182"/>
      <c r="U316" s="182"/>
      <c r="V316" s="182"/>
      <c r="W316" s="182"/>
      <c r="X316" s="182"/>
      <c r="Y316" s="182"/>
      <c r="AB316" s="175" t="str">
        <f t="shared" ref="AB316:AB329" si="119">B316</f>
        <v>Marvin Schwäbe</v>
      </c>
    </row>
    <row r="317" spans="1:28" ht="10.5" customHeight="1" x14ac:dyDescent="0.2">
      <c r="A317" s="177">
        <v>12</v>
      </c>
      <c r="B317" s="178" t="s">
        <v>451</v>
      </c>
      <c r="C317" s="178" t="s">
        <v>0</v>
      </c>
      <c r="D317" s="179" t="s">
        <v>59</v>
      </c>
      <c r="E317" s="179" t="s">
        <v>59</v>
      </c>
      <c r="F317" s="180" t="s">
        <v>59</v>
      </c>
      <c r="G317" s="180" t="s">
        <v>59</v>
      </c>
      <c r="H317" s="180"/>
      <c r="I317" s="179"/>
      <c r="J317" s="181"/>
      <c r="K317" s="182"/>
      <c r="L317" s="182"/>
      <c r="M317" s="182"/>
      <c r="N317" s="182"/>
      <c r="O317" s="182"/>
      <c r="P317" s="182"/>
      <c r="Q317" s="182"/>
      <c r="R317" s="182"/>
      <c r="S317" s="182"/>
      <c r="T317" s="182"/>
      <c r="U317" s="182"/>
      <c r="V317" s="182"/>
      <c r="W317" s="182"/>
      <c r="X317" s="182"/>
      <c r="Y317" s="182"/>
      <c r="AB317" s="175" t="str">
        <f t="shared" si="119"/>
        <v>Jonas Nickisch</v>
      </c>
    </row>
    <row r="318" spans="1:28" ht="10.5" customHeight="1" x14ac:dyDescent="0.2">
      <c r="A318" s="177">
        <v>20</v>
      </c>
      <c r="B318" s="178" t="s">
        <v>191</v>
      </c>
      <c r="C318" s="178" t="s">
        <v>0</v>
      </c>
      <c r="D318" s="179" t="s">
        <v>59</v>
      </c>
      <c r="E318" s="179" t="s">
        <v>59</v>
      </c>
      <c r="F318" s="180" t="s">
        <v>59</v>
      </c>
      <c r="G318" s="180" t="s">
        <v>59</v>
      </c>
      <c r="H318" s="180"/>
      <c r="I318" s="179"/>
      <c r="J318" s="181"/>
      <c r="K318" s="182"/>
      <c r="L318" s="182"/>
      <c r="M318" s="182"/>
      <c r="N318" s="182"/>
      <c r="O318" s="182"/>
      <c r="P318" s="182"/>
      <c r="Q318" s="182"/>
      <c r="R318" s="182"/>
      <c r="S318" s="182"/>
      <c r="T318" s="182"/>
      <c r="U318" s="182"/>
      <c r="V318" s="182"/>
      <c r="W318" s="182"/>
      <c r="X318" s="182"/>
      <c r="Y318" s="182"/>
      <c r="AB318" s="175" t="str">
        <f t="shared" ref="AB318:AB319" si="120">B318</f>
        <v>Philipp Pentke</v>
      </c>
    </row>
    <row r="319" spans="1:28" ht="10.5" customHeight="1" x14ac:dyDescent="0.2">
      <c r="A319" s="177">
        <v>44</v>
      </c>
      <c r="B319" s="178" t="s">
        <v>452</v>
      </c>
      <c r="C319" s="178" t="s">
        <v>0</v>
      </c>
      <c r="D319" s="179" t="s">
        <v>59</v>
      </c>
      <c r="E319" s="179" t="s">
        <v>59</v>
      </c>
      <c r="F319" s="180" t="s">
        <v>59</v>
      </c>
      <c r="G319" s="180" t="s">
        <v>59</v>
      </c>
      <c r="H319" s="180"/>
      <c r="I319" s="179"/>
      <c r="J319" s="181"/>
      <c r="K319" s="182"/>
      <c r="L319" s="182"/>
      <c r="M319" s="182"/>
      <c r="N319" s="182"/>
      <c r="O319" s="182"/>
      <c r="P319" s="182"/>
      <c r="Q319" s="182"/>
      <c r="R319" s="182"/>
      <c r="S319" s="182"/>
      <c r="T319" s="182"/>
      <c r="U319" s="182"/>
      <c r="V319" s="182"/>
      <c r="W319" s="182"/>
      <c r="X319" s="182"/>
      <c r="Y319" s="182"/>
      <c r="AB319" s="175" t="str">
        <f t="shared" si="120"/>
        <v>Matthias Köbbing</v>
      </c>
    </row>
    <row r="320" spans="1:28" s="113" customFormat="1" ht="10.5" customHeight="1" x14ac:dyDescent="0.2">
      <c r="A320" s="198">
        <v>2</v>
      </c>
      <c r="B320" s="199" t="s">
        <v>202</v>
      </c>
      <c r="C320" s="185" t="s">
        <v>1</v>
      </c>
      <c r="D320" s="186" t="s">
        <v>59</v>
      </c>
      <c r="E320" s="186" t="s">
        <v>59</v>
      </c>
      <c r="F320" s="187" t="s">
        <v>59</v>
      </c>
      <c r="G320" s="187" t="s">
        <v>59</v>
      </c>
      <c r="H320" s="187"/>
      <c r="I320" s="186"/>
      <c r="J320" s="181"/>
      <c r="K320" s="182"/>
      <c r="L320" s="182"/>
      <c r="M320" s="182"/>
      <c r="N320" s="182"/>
      <c r="O320" s="182"/>
      <c r="P320" s="182"/>
      <c r="Q320" s="182"/>
      <c r="R320" s="182"/>
      <c r="S320" s="182"/>
      <c r="T320" s="182"/>
      <c r="U320" s="182"/>
      <c r="V320" s="182"/>
      <c r="W320" s="182"/>
      <c r="X320" s="182"/>
      <c r="Y320" s="182"/>
      <c r="Z320" s="172"/>
      <c r="AB320" s="175" t="str">
        <f t="shared" si="119"/>
        <v>Benno Schmitz</v>
      </c>
    </row>
    <row r="321" spans="1:28" s="113" customFormat="1" ht="10.5" customHeight="1" x14ac:dyDescent="0.2">
      <c r="A321" s="198">
        <v>3</v>
      </c>
      <c r="B321" s="199" t="s">
        <v>168</v>
      </c>
      <c r="C321" s="185" t="s">
        <v>1</v>
      </c>
      <c r="D321" s="186" t="s">
        <v>59</v>
      </c>
      <c r="E321" s="186" t="s">
        <v>59</v>
      </c>
      <c r="F321" s="187" t="s">
        <v>59</v>
      </c>
      <c r="G321" s="187" t="s">
        <v>59</v>
      </c>
      <c r="H321" s="187"/>
      <c r="I321" s="186"/>
      <c r="J321" s="181"/>
      <c r="K321" s="182"/>
      <c r="L321" s="182"/>
      <c r="M321" s="182"/>
      <c r="N321" s="182"/>
      <c r="O321" s="182"/>
      <c r="P321" s="182"/>
      <c r="Q321" s="182"/>
      <c r="R321" s="182"/>
      <c r="S321" s="182"/>
      <c r="T321" s="182"/>
      <c r="U321" s="182"/>
      <c r="V321" s="182"/>
      <c r="W321" s="182"/>
      <c r="X321" s="182"/>
      <c r="Y321" s="182"/>
      <c r="Z321" s="172"/>
      <c r="AB321" s="175" t="str">
        <f t="shared" si="119"/>
        <v>Dominique Heintz</v>
      </c>
    </row>
    <row r="322" spans="1:28" s="113" customFormat="1" ht="10.5" customHeight="1" x14ac:dyDescent="0.2">
      <c r="A322" s="198">
        <v>4</v>
      </c>
      <c r="B322" s="199" t="s">
        <v>292</v>
      </c>
      <c r="C322" s="185" t="s">
        <v>1</v>
      </c>
      <c r="D322" s="186" t="s">
        <v>59</v>
      </c>
      <c r="E322" s="186" t="s">
        <v>59</v>
      </c>
      <c r="F322" s="187" t="s">
        <v>59</v>
      </c>
      <c r="G322" s="187" t="s">
        <v>59</v>
      </c>
      <c r="H322" s="187"/>
      <c r="I322" s="186"/>
      <c r="J322" s="181"/>
      <c r="K322" s="182"/>
      <c r="L322" s="182"/>
      <c r="M322" s="182"/>
      <c r="N322" s="182"/>
      <c r="O322" s="182"/>
      <c r="P322" s="182"/>
      <c r="Q322" s="182"/>
      <c r="R322" s="182"/>
      <c r="S322" s="182"/>
      <c r="T322" s="182"/>
      <c r="U322" s="182"/>
      <c r="V322" s="182"/>
      <c r="W322" s="182"/>
      <c r="X322" s="182"/>
      <c r="Y322" s="182"/>
      <c r="Z322" s="172"/>
      <c r="AB322" s="175" t="str">
        <f t="shared" si="119"/>
        <v>Timo Hübers</v>
      </c>
    </row>
    <row r="323" spans="1:28" s="113" customFormat="1" ht="10.5" customHeight="1" x14ac:dyDescent="0.2">
      <c r="A323" s="198">
        <v>15</v>
      </c>
      <c r="B323" s="199" t="s">
        <v>205</v>
      </c>
      <c r="C323" s="185" t="s">
        <v>1</v>
      </c>
      <c r="D323" s="186" t="s">
        <v>59</v>
      </c>
      <c r="E323" s="186" t="s">
        <v>59</v>
      </c>
      <c r="F323" s="187" t="s">
        <v>59</v>
      </c>
      <c r="G323" s="187" t="s">
        <v>59</v>
      </c>
      <c r="H323" s="187"/>
      <c r="I323" s="186"/>
      <c r="J323" s="181"/>
      <c r="K323" s="182"/>
      <c r="L323" s="182"/>
      <c r="M323" s="182"/>
      <c r="N323" s="182"/>
      <c r="O323" s="182"/>
      <c r="P323" s="182"/>
      <c r="Q323" s="182"/>
      <c r="R323" s="182"/>
      <c r="S323" s="182"/>
      <c r="T323" s="182"/>
      <c r="U323" s="182"/>
      <c r="V323" s="182"/>
      <c r="W323" s="182"/>
      <c r="X323" s="182"/>
      <c r="Y323" s="182"/>
      <c r="Z323" s="172"/>
      <c r="AB323" s="175" t="str">
        <f t="shared" ref="AB323:AB328" si="121">B323</f>
        <v>Luca Kilian</v>
      </c>
    </row>
    <row r="324" spans="1:28" s="113" customFormat="1" ht="10.5" customHeight="1" x14ac:dyDescent="0.2">
      <c r="A324" s="198">
        <v>17</v>
      </c>
      <c r="B324" s="199" t="s">
        <v>453</v>
      </c>
      <c r="C324" s="185" t="s">
        <v>1</v>
      </c>
      <c r="D324" s="186" t="s">
        <v>59</v>
      </c>
      <c r="E324" s="186" t="s">
        <v>59</v>
      </c>
      <c r="F324" s="187" t="s">
        <v>59</v>
      </c>
      <c r="G324" s="187" t="s">
        <v>59</v>
      </c>
      <c r="H324" s="187"/>
      <c r="I324" s="186"/>
      <c r="J324" s="181"/>
      <c r="K324" s="182"/>
      <c r="L324" s="182"/>
      <c r="M324" s="182"/>
      <c r="N324" s="182"/>
      <c r="O324" s="182"/>
      <c r="P324" s="182"/>
      <c r="Q324" s="182"/>
      <c r="R324" s="182"/>
      <c r="S324" s="182"/>
      <c r="T324" s="182"/>
      <c r="U324" s="182"/>
      <c r="V324" s="182"/>
      <c r="W324" s="182"/>
      <c r="X324" s="182"/>
      <c r="Y324" s="182"/>
      <c r="Z324" s="172"/>
      <c r="AB324" s="175" t="str">
        <f t="shared" si="121"/>
        <v>Leart Paqarada</v>
      </c>
    </row>
    <row r="325" spans="1:28" s="113" customFormat="1" ht="10.5" customHeight="1" x14ac:dyDescent="0.2">
      <c r="A325" s="198">
        <v>18</v>
      </c>
      <c r="B325" s="199" t="s">
        <v>454</v>
      </c>
      <c r="C325" s="185" t="s">
        <v>1</v>
      </c>
      <c r="D325" s="186" t="s">
        <v>59</v>
      </c>
      <c r="E325" s="186" t="s">
        <v>59</v>
      </c>
      <c r="F325" s="187" t="s">
        <v>59</v>
      </c>
      <c r="G325" s="187" t="s">
        <v>59</v>
      </c>
      <c r="H325" s="187"/>
      <c r="I325" s="186"/>
      <c r="J325" s="181"/>
      <c r="K325" s="182"/>
      <c r="L325" s="182"/>
      <c r="M325" s="182"/>
      <c r="N325" s="182"/>
      <c r="O325" s="182"/>
      <c r="P325" s="182"/>
      <c r="Q325" s="182"/>
      <c r="R325" s="182"/>
      <c r="S325" s="182"/>
      <c r="T325" s="182"/>
      <c r="U325" s="182"/>
      <c r="V325" s="182"/>
      <c r="W325" s="182"/>
      <c r="X325" s="182"/>
      <c r="Y325" s="182"/>
      <c r="Z325" s="172"/>
      <c r="AB325" s="175" t="str">
        <f t="shared" si="121"/>
        <v>Rasmus Carstensen (A)</v>
      </c>
    </row>
    <row r="326" spans="1:28" s="113" customFormat="1" ht="10.5" customHeight="1" x14ac:dyDescent="0.2">
      <c r="A326" s="198">
        <v>24</v>
      </c>
      <c r="B326" s="199" t="s">
        <v>312</v>
      </c>
      <c r="C326" s="185" t="s">
        <v>1</v>
      </c>
      <c r="D326" s="186" t="s">
        <v>59</v>
      </c>
      <c r="E326" s="186" t="s">
        <v>59</v>
      </c>
      <c r="F326" s="187" t="s">
        <v>59</v>
      </c>
      <c r="G326" s="187" t="s">
        <v>59</v>
      </c>
      <c r="H326" s="187"/>
      <c r="I326" s="186"/>
      <c r="J326" s="181"/>
      <c r="K326" s="182"/>
      <c r="L326" s="182"/>
      <c r="M326" s="182"/>
      <c r="N326" s="182"/>
      <c r="O326" s="182"/>
      <c r="P326" s="182"/>
      <c r="Q326" s="182"/>
      <c r="R326" s="182"/>
      <c r="S326" s="182"/>
      <c r="T326" s="182"/>
      <c r="U326" s="182"/>
      <c r="V326" s="182"/>
      <c r="W326" s="182"/>
      <c r="X326" s="182"/>
      <c r="Y326" s="182"/>
      <c r="Z326" s="172"/>
      <c r="AB326" s="175" t="str">
        <f t="shared" si="121"/>
        <v>Jeff Chabot</v>
      </c>
    </row>
    <row r="327" spans="1:28" s="113" customFormat="1" ht="10.5" customHeight="1" x14ac:dyDescent="0.2">
      <c r="A327" s="198">
        <v>35</v>
      </c>
      <c r="B327" s="199" t="s">
        <v>551</v>
      </c>
      <c r="C327" s="185" t="s">
        <v>1</v>
      </c>
      <c r="D327" s="186" t="s">
        <v>59</v>
      </c>
      <c r="E327" s="186" t="s">
        <v>59</v>
      </c>
      <c r="F327" s="187" t="s">
        <v>59</v>
      </c>
      <c r="G327" s="187" t="s">
        <v>59</v>
      </c>
      <c r="H327" s="187"/>
      <c r="I327" s="186"/>
      <c r="J327" s="181"/>
      <c r="K327" s="182"/>
      <c r="L327" s="182"/>
      <c r="M327" s="182"/>
      <c r="N327" s="182"/>
      <c r="O327" s="182"/>
      <c r="P327" s="182"/>
      <c r="Q327" s="182"/>
      <c r="R327" s="182"/>
      <c r="S327" s="182"/>
      <c r="T327" s="182"/>
      <c r="U327" s="182"/>
      <c r="V327" s="182"/>
      <c r="W327" s="182"/>
      <c r="X327" s="182"/>
      <c r="Y327" s="182"/>
      <c r="Z327" s="172"/>
      <c r="AB327" s="175" t="str">
        <f t="shared" si="121"/>
        <v>Max Finkgräfe</v>
      </c>
    </row>
    <row r="328" spans="1:28" s="113" customFormat="1" ht="10.5" customHeight="1" x14ac:dyDescent="0.2">
      <c r="A328" s="198">
        <v>38</v>
      </c>
      <c r="B328" s="199" t="s">
        <v>455</v>
      </c>
      <c r="C328" s="185" t="s">
        <v>1</v>
      </c>
      <c r="D328" s="186" t="s">
        <v>59</v>
      </c>
      <c r="E328" s="186" t="s">
        <v>59</v>
      </c>
      <c r="F328" s="187" t="s">
        <v>59</v>
      </c>
      <c r="G328" s="187" t="s">
        <v>59</v>
      </c>
      <c r="H328" s="187"/>
      <c r="I328" s="186"/>
      <c r="J328" s="181"/>
      <c r="K328" s="182"/>
      <c r="L328" s="182"/>
      <c r="M328" s="182"/>
      <c r="N328" s="182"/>
      <c r="O328" s="182"/>
      <c r="P328" s="182"/>
      <c r="Q328" s="182"/>
      <c r="R328" s="182"/>
      <c r="S328" s="182"/>
      <c r="T328" s="182"/>
      <c r="U328" s="182"/>
      <c r="V328" s="182"/>
      <c r="W328" s="182"/>
      <c r="X328" s="182"/>
      <c r="Y328" s="182"/>
      <c r="Z328" s="172"/>
      <c r="AB328" s="175" t="str">
        <f t="shared" si="121"/>
        <v>Elias Bakatukanda</v>
      </c>
    </row>
    <row r="329" spans="1:28" ht="10.5" customHeight="1" x14ac:dyDescent="0.2">
      <c r="A329" s="200">
        <v>6</v>
      </c>
      <c r="B329" s="190" t="s">
        <v>337</v>
      </c>
      <c r="C329" s="190" t="s">
        <v>2</v>
      </c>
      <c r="D329" s="191" t="s">
        <v>59</v>
      </c>
      <c r="E329" s="191" t="s">
        <v>59</v>
      </c>
      <c r="F329" s="192" t="s">
        <v>59</v>
      </c>
      <c r="G329" s="192" t="s">
        <v>59</v>
      </c>
      <c r="H329" s="192"/>
      <c r="I329" s="191"/>
      <c r="J329" s="181"/>
      <c r="K329" s="182"/>
      <c r="L329" s="182"/>
      <c r="M329" s="182"/>
      <c r="N329" s="182"/>
      <c r="O329" s="182"/>
      <c r="P329" s="182"/>
      <c r="Q329" s="182"/>
      <c r="R329" s="182"/>
      <c r="S329" s="182"/>
      <c r="T329" s="182"/>
      <c r="U329" s="182"/>
      <c r="V329" s="182"/>
      <c r="W329" s="182"/>
      <c r="X329" s="182"/>
      <c r="Y329" s="182"/>
      <c r="AB329" s="175" t="str">
        <f t="shared" si="119"/>
        <v>Eric Martel</v>
      </c>
    </row>
    <row r="330" spans="1:28" ht="10.5" customHeight="1" x14ac:dyDescent="0.2">
      <c r="A330" s="200">
        <v>7</v>
      </c>
      <c r="B330" s="190" t="s">
        <v>294</v>
      </c>
      <c r="C330" s="190" t="s">
        <v>2</v>
      </c>
      <c r="D330" s="191" t="s">
        <v>59</v>
      </c>
      <c r="E330" s="191" t="s">
        <v>59</v>
      </c>
      <c r="F330" s="192" t="s">
        <v>59</v>
      </c>
      <c r="G330" s="192" t="s">
        <v>59</v>
      </c>
      <c r="H330" s="192"/>
      <c r="I330" s="191"/>
      <c r="J330" s="181"/>
      <c r="K330" s="182"/>
      <c r="L330" s="182"/>
      <c r="M330" s="182"/>
      <c r="N330" s="182"/>
      <c r="O330" s="182"/>
      <c r="P330" s="182"/>
      <c r="Q330" s="182"/>
      <c r="R330" s="182"/>
      <c r="S330" s="182"/>
      <c r="T330" s="182"/>
      <c r="U330" s="182"/>
      <c r="V330" s="182"/>
      <c r="W330" s="182"/>
      <c r="X330" s="182"/>
      <c r="Y330" s="182"/>
      <c r="AB330" s="175" t="str">
        <f t="shared" ref="AB330:AB336" si="122">B330</f>
        <v>Dejan Ljubicic (A)</v>
      </c>
    </row>
    <row r="331" spans="1:28" ht="10.5" customHeight="1" x14ac:dyDescent="0.2">
      <c r="A331" s="200">
        <v>8</v>
      </c>
      <c r="B331" s="190" t="s">
        <v>587</v>
      </c>
      <c r="C331" s="190" t="s">
        <v>2</v>
      </c>
      <c r="D331" s="191" t="s">
        <v>59</v>
      </c>
      <c r="E331" s="191" t="s">
        <v>59</v>
      </c>
      <c r="F331" s="192" t="s">
        <v>59</v>
      </c>
      <c r="G331" s="192" t="s">
        <v>59</v>
      </c>
      <c r="H331" s="192"/>
      <c r="I331" s="191"/>
      <c r="J331" s="181"/>
      <c r="K331" s="182"/>
      <c r="L331" s="182"/>
      <c r="M331" s="182"/>
      <c r="N331" s="182"/>
      <c r="O331" s="182"/>
      <c r="P331" s="182"/>
      <c r="Q331" s="182"/>
      <c r="R331" s="182"/>
      <c r="S331" s="182"/>
      <c r="T331" s="182"/>
      <c r="U331" s="182"/>
      <c r="V331" s="182"/>
      <c r="W331" s="182"/>
      <c r="X331" s="182"/>
      <c r="Y331" s="182"/>
      <c r="AB331" s="175" t="str">
        <f t="shared" si="122"/>
        <v>Denis Huseinbašić</v>
      </c>
    </row>
    <row r="332" spans="1:28" ht="10.5" customHeight="1" x14ac:dyDescent="0.2">
      <c r="A332" s="200">
        <v>11</v>
      </c>
      <c r="B332" s="190" t="s">
        <v>139</v>
      </c>
      <c r="C332" s="190" t="s">
        <v>2</v>
      </c>
      <c r="D332" s="191" t="s">
        <v>59</v>
      </c>
      <c r="E332" s="191" t="s">
        <v>59</v>
      </c>
      <c r="F332" s="192" t="s">
        <v>59</v>
      </c>
      <c r="G332" s="192" t="s">
        <v>59</v>
      </c>
      <c r="H332" s="192"/>
      <c r="I332" s="191"/>
      <c r="J332" s="181"/>
      <c r="K332" s="182"/>
      <c r="L332" s="182"/>
      <c r="M332" s="182"/>
      <c r="N332" s="182"/>
      <c r="O332" s="182"/>
      <c r="P332" s="182"/>
      <c r="Q332" s="182"/>
      <c r="R332" s="182"/>
      <c r="S332" s="182"/>
      <c r="T332" s="182"/>
      <c r="U332" s="182"/>
      <c r="V332" s="182"/>
      <c r="W332" s="182"/>
      <c r="X332" s="182"/>
      <c r="Y332" s="182"/>
      <c r="AB332" s="175" t="str">
        <f t="shared" si="122"/>
        <v>Florian Kainz (A)</v>
      </c>
    </row>
    <row r="333" spans="1:28" ht="10.5" customHeight="1" x14ac:dyDescent="0.2">
      <c r="A333" s="200">
        <v>22</v>
      </c>
      <c r="B333" s="190" t="s">
        <v>456</v>
      </c>
      <c r="C333" s="190" t="s">
        <v>2</v>
      </c>
      <c r="D333" s="191" t="s">
        <v>59</v>
      </c>
      <c r="E333" s="191" t="s">
        <v>59</v>
      </c>
      <c r="F333" s="192" t="s">
        <v>59</v>
      </c>
      <c r="G333" s="192" t="s">
        <v>59</v>
      </c>
      <c r="H333" s="192"/>
      <c r="I333" s="191"/>
      <c r="J333" s="181"/>
      <c r="K333" s="182"/>
      <c r="L333" s="182"/>
      <c r="M333" s="182"/>
      <c r="N333" s="182"/>
      <c r="O333" s="182"/>
      <c r="P333" s="182"/>
      <c r="Q333" s="182"/>
      <c r="R333" s="182"/>
      <c r="S333" s="182"/>
      <c r="T333" s="182"/>
      <c r="U333" s="182"/>
      <c r="V333" s="182"/>
      <c r="W333" s="182"/>
      <c r="X333" s="182"/>
      <c r="Y333" s="182"/>
      <c r="AB333" s="175" t="str">
        <f t="shared" si="122"/>
        <v>Jacob Christensen (A)</v>
      </c>
    </row>
    <row r="334" spans="1:28" ht="10.5" customHeight="1" x14ac:dyDescent="0.2">
      <c r="A334" s="200">
        <v>29</v>
      </c>
      <c r="B334" s="190" t="s">
        <v>215</v>
      </c>
      <c r="C334" s="190" t="s">
        <v>2</v>
      </c>
      <c r="D334" s="191" t="s">
        <v>59</v>
      </c>
      <c r="E334" s="191" t="s">
        <v>59</v>
      </c>
      <c r="F334" s="192" t="s">
        <v>59</v>
      </c>
      <c r="G334" s="192" t="s">
        <v>59</v>
      </c>
      <c r="H334" s="192"/>
      <c r="I334" s="191"/>
      <c r="J334" s="181"/>
      <c r="K334" s="182"/>
      <c r="L334" s="182"/>
      <c r="M334" s="182"/>
      <c r="N334" s="182"/>
      <c r="O334" s="182"/>
      <c r="P334" s="182"/>
      <c r="Q334" s="182"/>
      <c r="R334" s="182"/>
      <c r="S334" s="182"/>
      <c r="T334" s="182"/>
      <c r="U334" s="182"/>
      <c r="V334" s="182"/>
      <c r="W334" s="182"/>
      <c r="X334" s="182"/>
      <c r="Y334" s="182"/>
      <c r="AB334" s="175" t="str">
        <f t="shared" si="122"/>
        <v>Jan Thielmann</v>
      </c>
    </row>
    <row r="335" spans="1:28" ht="10.5" customHeight="1" x14ac:dyDescent="0.2">
      <c r="A335" s="200">
        <v>36</v>
      </c>
      <c r="B335" s="190" t="s">
        <v>657</v>
      </c>
      <c r="C335" s="190" t="s">
        <v>2</v>
      </c>
      <c r="D335" s="191" t="s">
        <v>59</v>
      </c>
      <c r="E335" s="191" t="s">
        <v>59</v>
      </c>
      <c r="F335" s="192" t="s">
        <v>59</v>
      </c>
      <c r="G335" s="192" t="s">
        <v>59</v>
      </c>
      <c r="H335" s="192"/>
      <c r="I335" s="191"/>
      <c r="J335" s="181"/>
      <c r="K335" s="182"/>
      <c r="L335" s="182"/>
      <c r="M335" s="182"/>
      <c r="N335" s="182"/>
      <c r="O335" s="182"/>
      <c r="P335" s="182"/>
      <c r="Q335" s="182"/>
      <c r="R335" s="182"/>
      <c r="S335" s="182"/>
      <c r="T335" s="182"/>
      <c r="U335" s="182"/>
      <c r="V335" s="182"/>
      <c r="W335" s="182"/>
      <c r="X335" s="182"/>
      <c r="Y335" s="182"/>
      <c r="AB335" s="175" t="str">
        <f t="shared" ref="AB335" si="123">B335</f>
        <v>Meiko Wäschenbach</v>
      </c>
    </row>
    <row r="336" spans="1:28" ht="10.5" customHeight="1" x14ac:dyDescent="0.2">
      <c r="A336" s="200">
        <v>37</v>
      </c>
      <c r="B336" s="190" t="s">
        <v>338</v>
      </c>
      <c r="C336" s="190" t="s">
        <v>2</v>
      </c>
      <c r="D336" s="191" t="s">
        <v>59</v>
      </c>
      <c r="E336" s="191" t="s">
        <v>59</v>
      </c>
      <c r="F336" s="192" t="s">
        <v>59</v>
      </c>
      <c r="G336" s="192" t="s">
        <v>59</v>
      </c>
      <c r="H336" s="192"/>
      <c r="I336" s="191"/>
      <c r="J336" s="181"/>
      <c r="K336" s="182"/>
      <c r="L336" s="182"/>
      <c r="M336" s="182"/>
      <c r="N336" s="182"/>
      <c r="O336" s="182"/>
      <c r="P336" s="182"/>
      <c r="Q336" s="182"/>
      <c r="R336" s="182"/>
      <c r="S336" s="182"/>
      <c r="T336" s="182"/>
      <c r="U336" s="182"/>
      <c r="V336" s="182"/>
      <c r="W336" s="182"/>
      <c r="X336" s="182"/>
      <c r="Y336" s="182"/>
      <c r="AB336" s="175" t="str">
        <f t="shared" si="122"/>
        <v>Linton Maina</v>
      </c>
    </row>
    <row r="337" spans="1:28" ht="10.5" customHeight="1" x14ac:dyDescent="0.2">
      <c r="A337" s="200">
        <v>40</v>
      </c>
      <c r="B337" s="190" t="s">
        <v>348</v>
      </c>
      <c r="C337" s="190" t="s">
        <v>2</v>
      </c>
      <c r="D337" s="191" t="s">
        <v>59</v>
      </c>
      <c r="E337" s="191" t="s">
        <v>59</v>
      </c>
      <c r="F337" s="192" t="s">
        <v>59</v>
      </c>
      <c r="G337" s="192" t="s">
        <v>59</v>
      </c>
      <c r="H337" s="192"/>
      <c r="I337" s="191"/>
      <c r="J337" s="181"/>
      <c r="K337" s="182"/>
      <c r="L337" s="182"/>
      <c r="M337" s="182"/>
      <c r="N337" s="182"/>
      <c r="O337" s="182"/>
      <c r="P337" s="182"/>
      <c r="Q337" s="182"/>
      <c r="R337" s="182"/>
      <c r="S337" s="182"/>
      <c r="T337" s="182"/>
      <c r="U337" s="182"/>
      <c r="V337" s="182"/>
      <c r="W337" s="182"/>
      <c r="X337" s="182"/>
      <c r="Y337" s="182"/>
      <c r="AB337" s="175" t="str">
        <f t="shared" ref="AB337" si="124">B337</f>
        <v>Faride Alidou</v>
      </c>
    </row>
    <row r="338" spans="1:28" ht="10.5" customHeight="1" x14ac:dyDescent="0.2">
      <c r="A338" s="201">
        <v>9</v>
      </c>
      <c r="B338" s="195" t="s">
        <v>457</v>
      </c>
      <c r="C338" s="195" t="s">
        <v>3</v>
      </c>
      <c r="D338" s="196" t="s">
        <v>59</v>
      </c>
      <c r="E338" s="196" t="s">
        <v>59</v>
      </c>
      <c r="F338" s="197" t="s">
        <v>59</v>
      </c>
      <c r="G338" s="197" t="s">
        <v>59</v>
      </c>
      <c r="H338" s="197"/>
      <c r="I338" s="196"/>
      <c r="J338" s="181"/>
      <c r="K338" s="182"/>
      <c r="L338" s="182"/>
      <c r="M338" s="182"/>
      <c r="N338" s="182"/>
      <c r="O338" s="182"/>
      <c r="P338" s="182"/>
      <c r="Q338" s="182"/>
      <c r="R338" s="182"/>
      <c r="S338" s="182"/>
      <c r="T338" s="182"/>
      <c r="U338" s="182"/>
      <c r="V338" s="182"/>
      <c r="W338" s="182"/>
      <c r="X338" s="182"/>
      <c r="Y338" s="182"/>
      <c r="AB338" s="175" t="str">
        <f t="shared" ref="AB338" si="125">B338</f>
        <v>Luca Waldschmidt</v>
      </c>
    </row>
    <row r="339" spans="1:28" ht="10.5" customHeight="1" x14ac:dyDescent="0.2">
      <c r="A339" s="201">
        <v>13</v>
      </c>
      <c r="B339" s="195" t="s">
        <v>295</v>
      </c>
      <c r="C339" s="195" t="s">
        <v>3</v>
      </c>
      <c r="D339" s="196" t="s">
        <v>59</v>
      </c>
      <c r="E339" s="196" t="s">
        <v>59</v>
      </c>
      <c r="F339" s="197" t="s">
        <v>59</v>
      </c>
      <c r="G339" s="197" t="s">
        <v>59</v>
      </c>
      <c r="H339" s="197"/>
      <c r="I339" s="196"/>
      <c r="J339" s="181"/>
      <c r="K339" s="182"/>
      <c r="L339" s="182"/>
      <c r="M339" s="182"/>
      <c r="N339" s="182"/>
      <c r="O339" s="182"/>
      <c r="P339" s="182"/>
      <c r="Q339" s="182"/>
      <c r="R339" s="182"/>
      <c r="S339" s="182"/>
      <c r="T339" s="182"/>
      <c r="U339" s="182"/>
      <c r="V339" s="182"/>
      <c r="W339" s="182"/>
      <c r="X339" s="182"/>
      <c r="Y339" s="182"/>
      <c r="AB339" s="175" t="str">
        <f t="shared" ref="AB339:AB344" si="126">B339</f>
        <v>Mark Uth</v>
      </c>
    </row>
    <row r="340" spans="1:28" ht="10.5" customHeight="1" x14ac:dyDescent="0.2">
      <c r="A340" s="201">
        <v>21</v>
      </c>
      <c r="B340" s="195" t="s">
        <v>254</v>
      </c>
      <c r="C340" s="195" t="s">
        <v>3</v>
      </c>
      <c r="D340" s="196" t="s">
        <v>59</v>
      </c>
      <c r="E340" s="196" t="s">
        <v>59</v>
      </c>
      <c r="F340" s="197" t="s">
        <v>59</v>
      </c>
      <c r="G340" s="197" t="s">
        <v>59</v>
      </c>
      <c r="H340" s="197"/>
      <c r="I340" s="196"/>
      <c r="J340" s="181"/>
      <c r="K340" s="182"/>
      <c r="L340" s="182"/>
      <c r="M340" s="182"/>
      <c r="N340" s="182"/>
      <c r="O340" s="182"/>
      <c r="P340" s="182"/>
      <c r="Q340" s="182"/>
      <c r="R340" s="182"/>
      <c r="S340" s="182"/>
      <c r="T340" s="182"/>
      <c r="U340" s="182"/>
      <c r="V340" s="182"/>
      <c r="W340" s="182"/>
      <c r="X340" s="182"/>
      <c r="Y340" s="182"/>
      <c r="AB340" s="175" t="str">
        <f t="shared" si="126"/>
        <v>Steffen Tigges</v>
      </c>
    </row>
    <row r="341" spans="1:28" ht="10.5" customHeight="1" x14ac:dyDescent="0.2">
      <c r="A341" s="201">
        <v>23</v>
      </c>
      <c r="B341" s="195" t="s">
        <v>339</v>
      </c>
      <c r="C341" s="195" t="s">
        <v>3</v>
      </c>
      <c r="D341" s="196" t="s">
        <v>59</v>
      </c>
      <c r="E341" s="196" t="s">
        <v>59</v>
      </c>
      <c r="F341" s="197" t="s">
        <v>59</v>
      </c>
      <c r="G341" s="197" t="s">
        <v>59</v>
      </c>
      <c r="H341" s="197"/>
      <c r="I341" s="196"/>
      <c r="J341" s="181"/>
      <c r="K341" s="182"/>
      <c r="L341" s="182"/>
      <c r="M341" s="182"/>
      <c r="N341" s="182"/>
      <c r="O341" s="182"/>
      <c r="P341" s="182"/>
      <c r="Q341" s="182"/>
      <c r="R341" s="182"/>
      <c r="S341" s="182"/>
      <c r="T341" s="182"/>
      <c r="U341" s="182"/>
      <c r="V341" s="182"/>
      <c r="W341" s="182"/>
      <c r="X341" s="182"/>
      <c r="Y341" s="182"/>
      <c r="AB341" s="175" t="str">
        <f t="shared" si="126"/>
        <v>Sargis Adamyan (A)</v>
      </c>
    </row>
    <row r="342" spans="1:28" ht="10.5" customHeight="1" x14ac:dyDescent="0.2">
      <c r="A342" s="201">
        <v>27</v>
      </c>
      <c r="B342" s="195" t="s">
        <v>136</v>
      </c>
      <c r="C342" s="195" t="s">
        <v>3</v>
      </c>
      <c r="D342" s="196" t="s">
        <v>59</v>
      </c>
      <c r="E342" s="196" t="s">
        <v>59</v>
      </c>
      <c r="F342" s="197" t="s">
        <v>59</v>
      </c>
      <c r="G342" s="197" t="s">
        <v>59</v>
      </c>
      <c r="H342" s="197"/>
      <c r="I342" s="196"/>
      <c r="J342" s="181"/>
      <c r="K342" s="182"/>
      <c r="L342" s="182"/>
      <c r="M342" s="182"/>
      <c r="N342" s="182"/>
      <c r="O342" s="182"/>
      <c r="P342" s="182"/>
      <c r="Q342" s="182"/>
      <c r="R342" s="182"/>
      <c r="S342" s="182"/>
      <c r="T342" s="182"/>
      <c r="U342" s="182"/>
      <c r="V342" s="182"/>
      <c r="W342" s="182"/>
      <c r="X342" s="182"/>
      <c r="Y342" s="182"/>
      <c r="AB342" s="175" t="str">
        <f t="shared" si="126"/>
        <v>Davie Selke</v>
      </c>
    </row>
    <row r="343" spans="1:28" ht="10.5" customHeight="1" x14ac:dyDescent="0.2">
      <c r="A343" s="201">
        <v>33</v>
      </c>
      <c r="B343" s="195" t="s">
        <v>340</v>
      </c>
      <c r="C343" s="195" t="s">
        <v>3</v>
      </c>
      <c r="D343" s="196" t="s">
        <v>59</v>
      </c>
      <c r="E343" s="196" t="s">
        <v>59</v>
      </c>
      <c r="F343" s="197" t="s">
        <v>59</v>
      </c>
      <c r="G343" s="197" t="s">
        <v>59</v>
      </c>
      <c r="H343" s="197"/>
      <c r="I343" s="196"/>
      <c r="J343" s="181"/>
      <c r="K343" s="182"/>
      <c r="L343" s="182"/>
      <c r="M343" s="182"/>
      <c r="N343" s="182"/>
      <c r="O343" s="182"/>
      <c r="P343" s="182"/>
      <c r="Q343" s="182"/>
      <c r="R343" s="182"/>
      <c r="S343" s="182"/>
      <c r="T343" s="182"/>
      <c r="U343" s="182"/>
      <c r="V343" s="182"/>
      <c r="W343" s="182"/>
      <c r="X343" s="182"/>
      <c r="Y343" s="182"/>
      <c r="AB343" s="175" t="str">
        <f t="shared" si="126"/>
        <v>Florian Dietz</v>
      </c>
    </row>
    <row r="344" spans="1:28" ht="10.5" customHeight="1" x14ac:dyDescent="0.2">
      <c r="A344" s="201">
        <v>42</v>
      </c>
      <c r="B344" s="195" t="s">
        <v>616</v>
      </c>
      <c r="C344" s="195" t="s">
        <v>3</v>
      </c>
      <c r="D344" s="196" t="s">
        <v>59</v>
      </c>
      <c r="E344" s="196" t="s">
        <v>59</v>
      </c>
      <c r="F344" s="197" t="s">
        <v>59</v>
      </c>
      <c r="G344" s="197" t="s">
        <v>59</v>
      </c>
      <c r="H344" s="197"/>
      <c r="I344" s="196"/>
      <c r="J344" s="181"/>
      <c r="K344" s="182"/>
      <c r="L344" s="182"/>
      <c r="M344" s="182"/>
      <c r="N344" s="182"/>
      <c r="O344" s="182"/>
      <c r="P344" s="182"/>
      <c r="Q344" s="182"/>
      <c r="R344" s="182"/>
      <c r="S344" s="182"/>
      <c r="T344" s="182"/>
      <c r="U344" s="182"/>
      <c r="V344" s="182"/>
      <c r="W344" s="182"/>
      <c r="X344" s="182"/>
      <c r="Y344" s="182"/>
      <c r="AB344" s="175" t="str">
        <f t="shared" si="126"/>
        <v>Damian Downs</v>
      </c>
    </row>
    <row r="345" spans="1:28" ht="10.5" customHeight="1" x14ac:dyDescent="0.2">
      <c r="A345" s="201">
        <v>45</v>
      </c>
      <c r="B345" s="195" t="s">
        <v>647</v>
      </c>
      <c r="C345" s="195" t="s">
        <v>3</v>
      </c>
      <c r="D345" s="196" t="s">
        <v>59</v>
      </c>
      <c r="E345" s="196" t="s">
        <v>59</v>
      </c>
      <c r="F345" s="197" t="s">
        <v>59</v>
      </c>
      <c r="G345" s="197" t="s">
        <v>59</v>
      </c>
      <c r="H345" s="197"/>
      <c r="I345" s="196"/>
      <c r="J345" s="181"/>
      <c r="K345" s="182"/>
      <c r="L345" s="182"/>
      <c r="M345" s="182"/>
      <c r="N345" s="182"/>
      <c r="O345" s="182"/>
      <c r="P345" s="182"/>
      <c r="Q345" s="182"/>
      <c r="R345" s="182"/>
      <c r="S345" s="182"/>
      <c r="T345" s="182"/>
      <c r="U345" s="182"/>
      <c r="V345" s="182"/>
      <c r="W345" s="182"/>
      <c r="X345" s="182"/>
      <c r="Y345" s="182"/>
      <c r="AB345" s="175" t="str">
        <f t="shared" ref="AB345" si="127">B345</f>
        <v>Justin Diehl</v>
      </c>
    </row>
    <row r="346" spans="1:28" ht="15" customHeight="1" thickBot="1" x14ac:dyDescent="0.25">
      <c r="A346" s="220" t="s">
        <v>122</v>
      </c>
      <c r="B346" s="220"/>
      <c r="C346" s="220"/>
      <c r="D346" s="220"/>
      <c r="E346" s="220"/>
      <c r="F346" s="220"/>
      <c r="G346" s="220"/>
      <c r="H346" s="220"/>
      <c r="I346" s="220"/>
      <c r="J346" s="10"/>
      <c r="K346" s="176">
        <v>12</v>
      </c>
      <c r="L346" s="176">
        <v>12</v>
      </c>
      <c r="M346" s="176">
        <v>12</v>
      </c>
      <c r="N346" s="176">
        <v>12</v>
      </c>
      <c r="O346" s="176">
        <v>12</v>
      </c>
      <c r="P346" s="176">
        <v>12</v>
      </c>
      <c r="Q346" s="176">
        <v>12</v>
      </c>
      <c r="R346" s="176">
        <v>12</v>
      </c>
      <c r="S346" s="176">
        <v>12</v>
      </c>
      <c r="T346" s="176">
        <v>12</v>
      </c>
      <c r="U346" s="176">
        <v>12</v>
      </c>
      <c r="V346" s="176">
        <v>12</v>
      </c>
      <c r="W346" s="176">
        <v>12</v>
      </c>
      <c r="X346" s="176">
        <v>12</v>
      </c>
      <c r="Y346" s="176">
        <v>12</v>
      </c>
      <c r="Z346" s="217"/>
      <c r="AB346" s="175" t="str">
        <f>A346</f>
        <v xml:space="preserve"> TSG 1899 Hoffenheim</v>
      </c>
    </row>
    <row r="347" spans="1:28" s="113" customFormat="1" ht="10.5" customHeight="1" x14ac:dyDescent="0.2">
      <c r="A347" s="177">
        <v>1</v>
      </c>
      <c r="B347" s="178" t="s">
        <v>86</v>
      </c>
      <c r="C347" s="178" t="s">
        <v>0</v>
      </c>
      <c r="D347" s="179" t="s">
        <v>59</v>
      </c>
      <c r="E347" s="179" t="s">
        <v>59</v>
      </c>
      <c r="F347" s="180" t="s">
        <v>59</v>
      </c>
      <c r="G347" s="180" t="s">
        <v>59</v>
      </c>
      <c r="H347" s="180"/>
      <c r="I347" s="179"/>
      <c r="J347" s="181"/>
      <c r="K347" s="182"/>
      <c r="L347" s="182"/>
      <c r="M347" s="182"/>
      <c r="N347" s="182"/>
      <c r="O347" s="182">
        <v>1</v>
      </c>
      <c r="P347" s="182"/>
      <c r="Q347" s="182"/>
      <c r="R347" s="182"/>
      <c r="S347" s="182"/>
      <c r="T347" s="182"/>
      <c r="U347" s="182"/>
      <c r="V347" s="182"/>
      <c r="W347" s="182"/>
      <c r="X347" s="182"/>
      <c r="Y347" s="182"/>
      <c r="Z347" s="172"/>
      <c r="AB347" s="175" t="str">
        <f t="shared" ref="AB347" si="128">B347</f>
        <v>Oliver Baumann</v>
      </c>
    </row>
    <row r="348" spans="1:28" s="113" customFormat="1" ht="10.5" customHeight="1" x14ac:dyDescent="0.2">
      <c r="A348" s="177">
        <v>36</v>
      </c>
      <c r="B348" s="178" t="s">
        <v>283</v>
      </c>
      <c r="C348" s="178" t="s">
        <v>0</v>
      </c>
      <c r="D348" s="179" t="s">
        <v>59</v>
      </c>
      <c r="E348" s="179" t="s">
        <v>59</v>
      </c>
      <c r="F348" s="180" t="s">
        <v>59</v>
      </c>
      <c r="G348" s="180" t="s">
        <v>59</v>
      </c>
      <c r="H348" s="180"/>
      <c r="I348" s="179"/>
      <c r="J348" s="181"/>
      <c r="K348" s="182"/>
      <c r="L348" s="182"/>
      <c r="M348" s="182"/>
      <c r="N348" s="182"/>
      <c r="O348" s="182"/>
      <c r="P348" s="182"/>
      <c r="Q348" s="182"/>
      <c r="R348" s="182"/>
      <c r="S348" s="182"/>
      <c r="T348" s="182"/>
      <c r="U348" s="182"/>
      <c r="V348" s="182"/>
      <c r="W348" s="182"/>
      <c r="X348" s="182"/>
      <c r="Y348" s="182"/>
      <c r="Z348" s="172"/>
      <c r="AB348" s="175" t="str">
        <f t="shared" ref="AB348:AB349" si="129">B348</f>
        <v>Nahuell Noll</v>
      </c>
    </row>
    <row r="349" spans="1:28" s="113" customFormat="1" ht="10.5" customHeight="1" x14ac:dyDescent="0.2">
      <c r="A349" s="177">
        <v>37</v>
      </c>
      <c r="B349" s="178" t="s">
        <v>230</v>
      </c>
      <c r="C349" s="178" t="s">
        <v>0</v>
      </c>
      <c r="D349" s="179" t="s">
        <v>59</v>
      </c>
      <c r="E349" s="179" t="s">
        <v>59</v>
      </c>
      <c r="F349" s="180" t="s">
        <v>59</v>
      </c>
      <c r="G349" s="180" t="s">
        <v>59</v>
      </c>
      <c r="H349" s="180"/>
      <c r="I349" s="179"/>
      <c r="J349" s="181"/>
      <c r="K349" s="182"/>
      <c r="L349" s="182"/>
      <c r="M349" s="182"/>
      <c r="N349" s="182"/>
      <c r="O349" s="182"/>
      <c r="P349" s="182"/>
      <c r="Q349" s="182"/>
      <c r="R349" s="182"/>
      <c r="S349" s="182"/>
      <c r="T349" s="182"/>
      <c r="U349" s="182"/>
      <c r="V349" s="182"/>
      <c r="W349" s="182"/>
      <c r="X349" s="182"/>
      <c r="Y349" s="182"/>
      <c r="Z349" s="172"/>
      <c r="AB349" s="175" t="str">
        <f t="shared" si="129"/>
        <v>Luca Philipp</v>
      </c>
    </row>
    <row r="350" spans="1:28" s="113" customFormat="1" ht="10.5" customHeight="1" x14ac:dyDescent="0.2">
      <c r="A350" s="198">
        <v>3</v>
      </c>
      <c r="B350" s="199" t="s">
        <v>159</v>
      </c>
      <c r="C350" s="185" t="s">
        <v>1</v>
      </c>
      <c r="D350" s="186" t="s">
        <v>59</v>
      </c>
      <c r="E350" s="186" t="s">
        <v>59</v>
      </c>
      <c r="F350" s="187" t="s">
        <v>59</v>
      </c>
      <c r="G350" s="187" t="s">
        <v>59</v>
      </c>
      <c r="H350" s="187"/>
      <c r="I350" s="186"/>
      <c r="J350" s="181"/>
      <c r="K350" s="182"/>
      <c r="L350" s="182"/>
      <c r="M350" s="182"/>
      <c r="N350" s="182"/>
      <c r="O350" s="182"/>
      <c r="P350" s="182"/>
      <c r="Q350" s="182"/>
      <c r="R350" s="182"/>
      <c r="S350" s="182"/>
      <c r="T350" s="182"/>
      <c r="U350" s="182"/>
      <c r="V350" s="182"/>
      <c r="W350" s="182"/>
      <c r="X350" s="182"/>
      <c r="Y350" s="182"/>
      <c r="Z350" s="172"/>
      <c r="AB350" s="175" t="str">
        <f t="shared" ref="AB350:AB356" si="130">B350</f>
        <v>Pavel Kaderábek (A)</v>
      </c>
    </row>
    <row r="351" spans="1:28" s="113" customFormat="1" ht="10.5" customHeight="1" x14ac:dyDescent="0.2">
      <c r="A351" s="198">
        <v>5</v>
      </c>
      <c r="B351" s="199" t="s">
        <v>343</v>
      </c>
      <c r="C351" s="185" t="s">
        <v>1</v>
      </c>
      <c r="D351" s="186" t="s">
        <v>59</v>
      </c>
      <c r="E351" s="186" t="s">
        <v>59</v>
      </c>
      <c r="F351" s="187" t="s">
        <v>59</v>
      </c>
      <c r="G351" s="187" t="s">
        <v>59</v>
      </c>
      <c r="H351" s="187"/>
      <c r="I351" s="186"/>
      <c r="J351" s="181"/>
      <c r="K351" s="182"/>
      <c r="L351" s="182"/>
      <c r="M351" s="182"/>
      <c r="N351" s="182"/>
      <c r="O351" s="182"/>
      <c r="P351" s="182"/>
      <c r="Q351" s="182"/>
      <c r="R351" s="182"/>
      <c r="S351" s="182"/>
      <c r="T351" s="182"/>
      <c r="U351" s="182"/>
      <c r="V351" s="182"/>
      <c r="W351" s="182"/>
      <c r="X351" s="182"/>
      <c r="Y351" s="182"/>
      <c r="Z351" s="172"/>
      <c r="AB351" s="175" t="str">
        <f t="shared" si="130"/>
        <v>Ozan Kabak (A)</v>
      </c>
    </row>
    <row r="352" spans="1:28" s="113" customFormat="1" ht="10.5" customHeight="1" x14ac:dyDescent="0.2">
      <c r="A352" s="198">
        <v>15</v>
      </c>
      <c r="B352" s="199" t="s">
        <v>458</v>
      </c>
      <c r="C352" s="185" t="s">
        <v>1</v>
      </c>
      <c r="D352" s="186" t="s">
        <v>59</v>
      </c>
      <c r="E352" s="186" t="s">
        <v>59</v>
      </c>
      <c r="F352" s="187" t="s">
        <v>59</v>
      </c>
      <c r="G352" s="187" t="s">
        <v>59</v>
      </c>
      <c r="H352" s="187"/>
      <c r="I352" s="186"/>
      <c r="J352" s="181"/>
      <c r="K352" s="182"/>
      <c r="L352" s="182"/>
      <c r="M352" s="182"/>
      <c r="N352" s="182"/>
      <c r="O352" s="182"/>
      <c r="P352" s="182"/>
      <c r="Q352" s="182"/>
      <c r="R352" s="182"/>
      <c r="S352" s="182"/>
      <c r="T352" s="182"/>
      <c r="U352" s="182"/>
      <c r="V352" s="182"/>
      <c r="W352" s="182"/>
      <c r="X352" s="182"/>
      <c r="Y352" s="182"/>
      <c r="Z352" s="172"/>
      <c r="AB352" s="175" t="str">
        <f t="shared" si="130"/>
        <v>Kasim Adams (A)</v>
      </c>
    </row>
    <row r="353" spans="1:28" s="113" customFormat="1" ht="10.5" customHeight="1" x14ac:dyDescent="0.2">
      <c r="A353" s="198">
        <v>19</v>
      </c>
      <c r="B353" s="199" t="s">
        <v>654</v>
      </c>
      <c r="C353" s="185" t="s">
        <v>1</v>
      </c>
      <c r="D353" s="186" t="s">
        <v>59</v>
      </c>
      <c r="E353" s="186" t="s">
        <v>59</v>
      </c>
      <c r="F353" s="187" t="s">
        <v>59</v>
      </c>
      <c r="G353" s="187" t="s">
        <v>59</v>
      </c>
      <c r="H353" s="187"/>
      <c r="I353" s="186"/>
      <c r="J353" s="181"/>
      <c r="K353" s="182"/>
      <c r="L353" s="182"/>
      <c r="M353" s="182"/>
      <c r="N353" s="182"/>
      <c r="O353" s="182"/>
      <c r="P353" s="182"/>
      <c r="Q353" s="182"/>
      <c r="R353" s="182"/>
      <c r="S353" s="182"/>
      <c r="T353" s="182"/>
      <c r="U353" s="182"/>
      <c r="V353" s="182"/>
      <c r="W353" s="182"/>
      <c r="X353" s="182"/>
      <c r="Y353" s="182"/>
      <c r="Z353" s="172"/>
      <c r="AB353" s="175" t="str">
        <f t="shared" ref="AB353" si="131">B353</f>
        <v>David Jurasek (A)</v>
      </c>
    </row>
    <row r="354" spans="1:28" s="113" customFormat="1" ht="10.5" customHeight="1" x14ac:dyDescent="0.2">
      <c r="A354" s="198">
        <v>23</v>
      </c>
      <c r="B354" s="199" t="s">
        <v>395</v>
      </c>
      <c r="C354" s="185" t="s">
        <v>1</v>
      </c>
      <c r="D354" s="186" t="s">
        <v>59</v>
      </c>
      <c r="E354" s="186" t="s">
        <v>59</v>
      </c>
      <c r="F354" s="187" t="s">
        <v>59</v>
      </c>
      <c r="G354" s="187" t="s">
        <v>59</v>
      </c>
      <c r="H354" s="187"/>
      <c r="I354" s="186"/>
      <c r="J354" s="181"/>
      <c r="K354" s="182"/>
      <c r="L354" s="182"/>
      <c r="M354" s="182"/>
      <c r="N354" s="182"/>
      <c r="O354" s="182"/>
      <c r="P354" s="182"/>
      <c r="Q354" s="182"/>
      <c r="R354" s="182"/>
      <c r="S354" s="182"/>
      <c r="T354" s="182"/>
      <c r="U354" s="182"/>
      <c r="V354" s="182"/>
      <c r="W354" s="182"/>
      <c r="X354" s="182"/>
      <c r="Y354" s="182"/>
      <c r="Z354" s="172"/>
      <c r="AB354" s="175" t="str">
        <f t="shared" si="130"/>
        <v>John Anthony Brooks</v>
      </c>
    </row>
    <row r="355" spans="1:28" s="113" customFormat="1" ht="10.5" customHeight="1" x14ac:dyDescent="0.2">
      <c r="A355" s="198">
        <v>25</v>
      </c>
      <c r="B355" s="199" t="s">
        <v>158</v>
      </c>
      <c r="C355" s="185" t="s">
        <v>1</v>
      </c>
      <c r="D355" s="186" t="s">
        <v>59</v>
      </c>
      <c r="E355" s="186" t="s">
        <v>59</v>
      </c>
      <c r="F355" s="187" t="s">
        <v>59</v>
      </c>
      <c r="G355" s="187" t="s">
        <v>59</v>
      </c>
      <c r="H355" s="187"/>
      <c r="I355" s="186"/>
      <c r="J355" s="181"/>
      <c r="K355" s="182"/>
      <c r="L355" s="182"/>
      <c r="M355" s="182"/>
      <c r="N355" s="182"/>
      <c r="O355" s="182"/>
      <c r="P355" s="182"/>
      <c r="Q355" s="182"/>
      <c r="R355" s="182"/>
      <c r="S355" s="182"/>
      <c r="T355" s="182"/>
      <c r="U355" s="182"/>
      <c r="V355" s="182"/>
      <c r="W355" s="182"/>
      <c r="X355" s="182"/>
      <c r="Y355" s="182"/>
      <c r="Z355" s="172"/>
      <c r="AB355" s="175" t="str">
        <f t="shared" ref="AB355" si="132">B355</f>
        <v>Kevin Akpoguma</v>
      </c>
    </row>
    <row r="356" spans="1:28" s="113" customFormat="1" ht="10.5" customHeight="1" x14ac:dyDescent="0.2">
      <c r="A356" s="198">
        <v>34</v>
      </c>
      <c r="B356" s="199" t="s">
        <v>373</v>
      </c>
      <c r="C356" s="185" t="s">
        <v>1</v>
      </c>
      <c r="D356" s="186" t="s">
        <v>59</v>
      </c>
      <c r="E356" s="186" t="s">
        <v>59</v>
      </c>
      <c r="F356" s="187" t="s">
        <v>59</v>
      </c>
      <c r="G356" s="187" t="s">
        <v>59</v>
      </c>
      <c r="H356" s="187"/>
      <c r="I356" s="186"/>
      <c r="J356" s="181"/>
      <c r="K356" s="182"/>
      <c r="L356" s="182"/>
      <c r="M356" s="182"/>
      <c r="N356" s="182"/>
      <c r="O356" s="182"/>
      <c r="P356" s="182"/>
      <c r="Q356" s="182"/>
      <c r="R356" s="182"/>
      <c r="S356" s="182"/>
      <c r="T356" s="182"/>
      <c r="U356" s="182"/>
      <c r="V356" s="182"/>
      <c r="W356" s="182"/>
      <c r="X356" s="182"/>
      <c r="Y356" s="182"/>
      <c r="Z356" s="172"/>
      <c r="AB356" s="175" t="str">
        <f t="shared" si="130"/>
        <v>Stanley Nsoki (A)</v>
      </c>
    </row>
    <row r="357" spans="1:28" s="113" customFormat="1" ht="10.5" customHeight="1" x14ac:dyDescent="0.2">
      <c r="A357" s="200">
        <v>6</v>
      </c>
      <c r="B357" s="190" t="s">
        <v>211</v>
      </c>
      <c r="C357" s="190" t="s">
        <v>2</v>
      </c>
      <c r="D357" s="191" t="s">
        <v>59</v>
      </c>
      <c r="E357" s="191" t="s">
        <v>59</v>
      </c>
      <c r="F357" s="192" t="s">
        <v>59</v>
      </c>
      <c r="G357" s="192" t="s">
        <v>59</v>
      </c>
      <c r="H357" s="192"/>
      <c r="I357" s="191"/>
      <c r="J357" s="181"/>
      <c r="K357" s="182"/>
      <c r="L357" s="182"/>
      <c r="M357" s="182"/>
      <c r="N357" s="182"/>
      <c r="O357" s="182"/>
      <c r="P357" s="182"/>
      <c r="Q357" s="182"/>
      <c r="R357" s="182"/>
      <c r="S357" s="182"/>
      <c r="T357" s="182"/>
      <c r="U357" s="182"/>
      <c r="V357" s="182"/>
      <c r="W357" s="182"/>
      <c r="X357" s="182"/>
      <c r="Y357" s="182"/>
      <c r="Z357" s="172"/>
      <c r="AB357" s="175" t="str">
        <f t="shared" ref="AB357:AB359" si="133">B357</f>
        <v>Grischa Prömel</v>
      </c>
    </row>
    <row r="358" spans="1:28" s="113" customFormat="1" ht="10.5" customHeight="1" x14ac:dyDescent="0.2">
      <c r="A358" s="200">
        <v>8</v>
      </c>
      <c r="B358" s="190" t="s">
        <v>143</v>
      </c>
      <c r="C358" s="190" t="s">
        <v>2</v>
      </c>
      <c r="D358" s="191" t="s">
        <v>59</v>
      </c>
      <c r="E358" s="191" t="s">
        <v>59</v>
      </c>
      <c r="F358" s="192" t="s">
        <v>59</v>
      </c>
      <c r="G358" s="192" t="s">
        <v>59</v>
      </c>
      <c r="H358" s="192"/>
      <c r="I358" s="191"/>
      <c r="J358" s="181"/>
      <c r="K358" s="182"/>
      <c r="L358" s="182"/>
      <c r="M358" s="182"/>
      <c r="N358" s="182"/>
      <c r="O358" s="182"/>
      <c r="P358" s="182"/>
      <c r="Q358" s="182"/>
      <c r="R358" s="182"/>
      <c r="S358" s="182"/>
      <c r="T358" s="182"/>
      <c r="U358" s="182"/>
      <c r="V358" s="182"/>
      <c r="W358" s="182"/>
      <c r="X358" s="182"/>
      <c r="Y358" s="182"/>
      <c r="Z358" s="172"/>
      <c r="AB358" s="175" t="str">
        <f t="shared" si="133"/>
        <v>Dennis Geiger</v>
      </c>
    </row>
    <row r="359" spans="1:28" s="113" customFormat="1" ht="10.5" customHeight="1" x14ac:dyDescent="0.2">
      <c r="A359" s="200">
        <v>11</v>
      </c>
      <c r="B359" s="190" t="s">
        <v>460</v>
      </c>
      <c r="C359" s="190" t="s">
        <v>2</v>
      </c>
      <c r="D359" s="191" t="s">
        <v>59</v>
      </c>
      <c r="E359" s="191" t="s">
        <v>59</v>
      </c>
      <c r="F359" s="192" t="s">
        <v>59</v>
      </c>
      <c r="G359" s="192" t="s">
        <v>59</v>
      </c>
      <c r="H359" s="192"/>
      <c r="I359" s="191"/>
      <c r="J359" s="181"/>
      <c r="K359" s="182"/>
      <c r="L359" s="182"/>
      <c r="M359" s="182"/>
      <c r="N359" s="182"/>
      <c r="O359" s="182"/>
      <c r="P359" s="182"/>
      <c r="Q359" s="182"/>
      <c r="R359" s="182"/>
      <c r="S359" s="182"/>
      <c r="T359" s="182"/>
      <c r="U359" s="182"/>
      <c r="V359" s="182"/>
      <c r="W359" s="182"/>
      <c r="X359" s="182"/>
      <c r="Y359" s="182"/>
      <c r="Z359" s="172"/>
      <c r="AB359" s="175" t="str">
        <f t="shared" si="133"/>
        <v>Florian Grillitsch (A)</v>
      </c>
    </row>
    <row r="360" spans="1:28" s="113" customFormat="1" ht="10.5" customHeight="1" x14ac:dyDescent="0.2">
      <c r="A360" s="200">
        <v>16</v>
      </c>
      <c r="B360" s="190" t="s">
        <v>286</v>
      </c>
      <c r="C360" s="190" t="s">
        <v>2</v>
      </c>
      <c r="D360" s="191" t="s">
        <v>59</v>
      </c>
      <c r="E360" s="191" t="s">
        <v>59</v>
      </c>
      <c r="F360" s="192" t="s">
        <v>59</v>
      </c>
      <c r="G360" s="192" t="s">
        <v>59</v>
      </c>
      <c r="H360" s="192"/>
      <c r="I360" s="191"/>
      <c r="J360" s="181"/>
      <c r="K360" s="182"/>
      <c r="L360" s="182"/>
      <c r="M360" s="182"/>
      <c r="N360" s="182"/>
      <c r="O360" s="182"/>
      <c r="P360" s="182"/>
      <c r="Q360" s="182"/>
      <c r="R360" s="182"/>
      <c r="S360" s="182"/>
      <c r="T360" s="182"/>
      <c r="U360" s="182"/>
      <c r="V360" s="182"/>
      <c r="W360" s="182"/>
      <c r="X360" s="182"/>
      <c r="Y360" s="182"/>
      <c r="Z360" s="172"/>
      <c r="AB360" s="175" t="str">
        <f t="shared" ref="AB360" si="134">B360</f>
        <v>Anton Stach</v>
      </c>
    </row>
    <row r="361" spans="1:28" s="113" customFormat="1" ht="10.5" customHeight="1" x14ac:dyDescent="0.2">
      <c r="A361" s="200">
        <v>20</v>
      </c>
      <c r="B361" s="190" t="s">
        <v>344</v>
      </c>
      <c r="C361" s="190" t="s">
        <v>2</v>
      </c>
      <c r="D361" s="191" t="s">
        <v>59</v>
      </c>
      <c r="E361" s="191" t="s">
        <v>59</v>
      </c>
      <c r="F361" s="192" t="s">
        <v>59</v>
      </c>
      <c r="G361" s="192" t="s">
        <v>59</v>
      </c>
      <c r="H361" s="192"/>
      <c r="I361" s="191"/>
      <c r="J361" s="181"/>
      <c r="K361" s="182"/>
      <c r="L361" s="182"/>
      <c r="M361" s="182"/>
      <c r="N361" s="182"/>
      <c r="O361" s="182"/>
      <c r="P361" s="182"/>
      <c r="Q361" s="182"/>
      <c r="R361" s="182"/>
      <c r="S361" s="182"/>
      <c r="T361" s="182"/>
      <c r="U361" s="182"/>
      <c r="V361" s="182"/>
      <c r="W361" s="182"/>
      <c r="X361" s="182"/>
      <c r="Y361" s="182"/>
      <c r="Z361" s="172"/>
      <c r="AB361" s="175" t="str">
        <f t="shared" ref="AB361:AB363" si="135">B361</f>
        <v>Finn Ole Becker</v>
      </c>
    </row>
    <row r="362" spans="1:28" s="113" customFormat="1" ht="10.5" customHeight="1" x14ac:dyDescent="0.2">
      <c r="A362" s="200">
        <v>24</v>
      </c>
      <c r="B362" s="190" t="s">
        <v>462</v>
      </c>
      <c r="C362" s="190" t="s">
        <v>2</v>
      </c>
      <c r="D362" s="191" t="s">
        <v>59</v>
      </c>
      <c r="E362" s="191" t="s">
        <v>59</v>
      </c>
      <c r="F362" s="192" t="s">
        <v>59</v>
      </c>
      <c r="G362" s="192" t="s">
        <v>59</v>
      </c>
      <c r="H362" s="192"/>
      <c r="I362" s="191"/>
      <c r="J362" s="181"/>
      <c r="K362" s="182"/>
      <c r="L362" s="182"/>
      <c r="M362" s="182"/>
      <c r="N362" s="182"/>
      <c r="O362" s="182"/>
      <c r="P362" s="182"/>
      <c r="Q362" s="182"/>
      <c r="R362" s="182"/>
      <c r="S362" s="182"/>
      <c r="T362" s="182"/>
      <c r="U362" s="182"/>
      <c r="V362" s="182"/>
      <c r="W362" s="182"/>
      <c r="X362" s="182"/>
      <c r="Y362" s="182"/>
      <c r="Z362" s="172"/>
      <c r="AB362" s="175" t="str">
        <f t="shared" si="135"/>
        <v>Marco John</v>
      </c>
    </row>
    <row r="363" spans="1:28" s="113" customFormat="1" ht="10.5" customHeight="1" x14ac:dyDescent="0.2">
      <c r="A363" s="200">
        <v>31</v>
      </c>
      <c r="B363" s="190" t="s">
        <v>609</v>
      </c>
      <c r="C363" s="190" t="s">
        <v>2</v>
      </c>
      <c r="D363" s="191" t="s">
        <v>59</v>
      </c>
      <c r="E363" s="191" t="s">
        <v>59</v>
      </c>
      <c r="F363" s="192" t="s">
        <v>59</v>
      </c>
      <c r="G363" s="192" t="s">
        <v>59</v>
      </c>
      <c r="H363" s="192"/>
      <c r="I363" s="191"/>
      <c r="J363" s="181"/>
      <c r="K363" s="182"/>
      <c r="L363" s="182"/>
      <c r="M363" s="182"/>
      <c r="N363" s="182"/>
      <c r="O363" s="182"/>
      <c r="P363" s="182"/>
      <c r="Q363" s="182"/>
      <c r="R363" s="182"/>
      <c r="S363" s="182"/>
      <c r="T363" s="182"/>
      <c r="U363" s="182"/>
      <c r="V363" s="182"/>
      <c r="W363" s="182"/>
      <c r="X363" s="182"/>
      <c r="Y363" s="182"/>
      <c r="Z363" s="172"/>
      <c r="AB363" s="175" t="str">
        <f t="shared" si="135"/>
        <v>Bambasé Conté</v>
      </c>
    </row>
    <row r="364" spans="1:28" s="113" customFormat="1" ht="10.5" customHeight="1" x14ac:dyDescent="0.2">
      <c r="A364" s="200">
        <v>39</v>
      </c>
      <c r="B364" s="190" t="s">
        <v>281</v>
      </c>
      <c r="C364" s="190" t="s">
        <v>2</v>
      </c>
      <c r="D364" s="191" t="s">
        <v>59</v>
      </c>
      <c r="E364" s="191" t="s">
        <v>59</v>
      </c>
      <c r="F364" s="192" t="s">
        <v>59</v>
      </c>
      <c r="G364" s="192" t="s">
        <v>59</v>
      </c>
      <c r="H364" s="192"/>
      <c r="I364" s="191"/>
      <c r="J364" s="181"/>
      <c r="K364" s="182"/>
      <c r="L364" s="182"/>
      <c r="M364" s="182"/>
      <c r="N364" s="182"/>
      <c r="O364" s="182"/>
      <c r="P364" s="182"/>
      <c r="Q364" s="182"/>
      <c r="R364" s="182"/>
      <c r="S364" s="182"/>
      <c r="T364" s="182"/>
      <c r="U364" s="182"/>
      <c r="V364" s="182"/>
      <c r="W364" s="182"/>
      <c r="X364" s="182"/>
      <c r="Y364" s="182"/>
      <c r="Z364" s="172"/>
      <c r="AB364" s="175" t="str">
        <f t="shared" ref="AB364:AB366" si="136">B364</f>
        <v>Tom Bischof</v>
      </c>
    </row>
    <row r="365" spans="1:28" s="113" customFormat="1" ht="10.5" customHeight="1" x14ac:dyDescent="0.2">
      <c r="A365" s="200">
        <v>40</v>
      </c>
      <c r="B365" s="190" t="s">
        <v>396</v>
      </c>
      <c r="C365" s="190" t="s">
        <v>2</v>
      </c>
      <c r="D365" s="191" t="s">
        <v>59</v>
      </c>
      <c r="E365" s="191" t="s">
        <v>59</v>
      </c>
      <c r="F365" s="192" t="s">
        <v>59</v>
      </c>
      <c r="G365" s="192" t="s">
        <v>59</v>
      </c>
      <c r="H365" s="192"/>
      <c r="I365" s="191"/>
      <c r="J365" s="181"/>
      <c r="K365" s="182"/>
      <c r="L365" s="182"/>
      <c r="M365" s="182"/>
      <c r="N365" s="182"/>
      <c r="O365" s="182"/>
      <c r="P365" s="182"/>
      <c r="Q365" s="182"/>
      <c r="R365" s="182"/>
      <c r="S365" s="182"/>
      <c r="T365" s="182"/>
      <c r="U365" s="182"/>
      <c r="V365" s="182"/>
      <c r="W365" s="182"/>
      <c r="X365" s="182"/>
      <c r="Y365" s="182"/>
      <c r="Z365" s="172"/>
      <c r="AB365" s="175" t="str">
        <f t="shared" si="136"/>
        <v>Umut Tohumcu</v>
      </c>
    </row>
    <row r="366" spans="1:28" s="113" customFormat="1" ht="10.5" customHeight="1" x14ac:dyDescent="0.2">
      <c r="A366" s="201">
        <v>7</v>
      </c>
      <c r="B366" s="195" t="s">
        <v>603</v>
      </c>
      <c r="C366" s="195" t="s">
        <v>3</v>
      </c>
      <c r="D366" s="196" t="s">
        <v>59</v>
      </c>
      <c r="E366" s="196" t="s">
        <v>59</v>
      </c>
      <c r="F366" s="196" t="s">
        <v>59</v>
      </c>
      <c r="G366" s="196" t="s">
        <v>59</v>
      </c>
      <c r="H366" s="197"/>
      <c r="I366" s="196"/>
      <c r="J366" s="181"/>
      <c r="K366" s="182"/>
      <c r="L366" s="182"/>
      <c r="M366" s="182"/>
      <c r="N366" s="182"/>
      <c r="O366" s="182"/>
      <c r="P366" s="182"/>
      <c r="Q366" s="182"/>
      <c r="R366" s="182"/>
      <c r="S366" s="182"/>
      <c r="T366" s="182"/>
      <c r="U366" s="182"/>
      <c r="V366" s="182"/>
      <c r="W366" s="182"/>
      <c r="X366" s="182"/>
      <c r="Y366" s="182"/>
      <c r="Z366" s="172"/>
      <c r="AB366" s="175" t="str">
        <f t="shared" si="136"/>
        <v>Mërgim Berisha</v>
      </c>
    </row>
    <row r="367" spans="1:28" s="113" customFormat="1" ht="10.5" customHeight="1" x14ac:dyDescent="0.2">
      <c r="A367" s="201">
        <v>9</v>
      </c>
      <c r="B367" s="195" t="s">
        <v>192</v>
      </c>
      <c r="C367" s="195" t="s">
        <v>3</v>
      </c>
      <c r="D367" s="196" t="s">
        <v>59</v>
      </c>
      <c r="E367" s="196" t="s">
        <v>59</v>
      </c>
      <c r="F367" s="196" t="s">
        <v>59</v>
      </c>
      <c r="G367" s="196" t="s">
        <v>59</v>
      </c>
      <c r="H367" s="197"/>
      <c r="I367" s="196"/>
      <c r="J367" s="181"/>
      <c r="K367" s="182"/>
      <c r="L367" s="182"/>
      <c r="M367" s="182"/>
      <c r="N367" s="182"/>
      <c r="O367" s="182"/>
      <c r="P367" s="182"/>
      <c r="Q367" s="182"/>
      <c r="R367" s="182"/>
      <c r="S367" s="182"/>
      <c r="T367" s="182"/>
      <c r="U367" s="182"/>
      <c r="V367" s="182"/>
      <c r="W367" s="182"/>
      <c r="X367" s="182"/>
      <c r="Y367" s="182"/>
      <c r="Z367" s="172"/>
      <c r="AB367" s="175" t="str">
        <f t="shared" ref="AB367" si="137">B367</f>
        <v>Ihlas Bebou (A)</v>
      </c>
    </row>
    <row r="368" spans="1:28" s="113" customFormat="1" ht="10.5" customHeight="1" x14ac:dyDescent="0.2">
      <c r="A368" s="201">
        <v>10</v>
      </c>
      <c r="B368" s="195" t="s">
        <v>463</v>
      </c>
      <c r="C368" s="195" t="s">
        <v>3</v>
      </c>
      <c r="D368" s="196" t="s">
        <v>59</v>
      </c>
      <c r="E368" s="196" t="s">
        <v>59</v>
      </c>
      <c r="F368" s="196" t="s">
        <v>59</v>
      </c>
      <c r="G368" s="196" t="s">
        <v>59</v>
      </c>
      <c r="H368" s="197"/>
      <c r="I368" s="196"/>
      <c r="J368" s="181"/>
      <c r="K368" s="182"/>
      <c r="L368" s="182"/>
      <c r="M368" s="182"/>
      <c r="N368" s="182"/>
      <c r="O368" s="182"/>
      <c r="P368" s="182"/>
      <c r="Q368" s="182"/>
      <c r="R368" s="182"/>
      <c r="S368" s="182"/>
      <c r="T368" s="182"/>
      <c r="U368" s="182"/>
      <c r="V368" s="182"/>
      <c r="W368" s="182"/>
      <c r="X368" s="182"/>
      <c r="Y368" s="182"/>
      <c r="Z368" s="172"/>
      <c r="AB368" s="175" t="str">
        <f t="shared" ref="AB368:AB372" si="138">B368</f>
        <v>Wout Weghorst (A)</v>
      </c>
    </row>
    <row r="369" spans="1:28" s="113" customFormat="1" ht="10.5" customHeight="1" x14ac:dyDescent="0.2">
      <c r="A369" s="201">
        <v>14</v>
      </c>
      <c r="B369" s="195" t="s">
        <v>464</v>
      </c>
      <c r="C369" s="195" t="s">
        <v>3</v>
      </c>
      <c r="D369" s="196" t="s">
        <v>59</v>
      </c>
      <c r="E369" s="196" t="s">
        <v>59</v>
      </c>
      <c r="F369" s="196" t="s">
        <v>59</v>
      </c>
      <c r="G369" s="196" t="s">
        <v>59</v>
      </c>
      <c r="H369" s="197"/>
      <c r="I369" s="196"/>
      <c r="J369" s="181"/>
      <c r="K369" s="182"/>
      <c r="L369" s="182"/>
      <c r="M369" s="182"/>
      <c r="N369" s="182"/>
      <c r="O369" s="182">
        <v>9</v>
      </c>
      <c r="P369" s="182"/>
      <c r="Q369" s="182"/>
      <c r="R369" s="182"/>
      <c r="S369" s="182"/>
      <c r="T369" s="182"/>
      <c r="U369" s="182"/>
      <c r="V369" s="182"/>
      <c r="W369" s="182"/>
      <c r="X369" s="182"/>
      <c r="Y369" s="182"/>
      <c r="Z369" s="172"/>
      <c r="AB369" s="175" t="str">
        <f t="shared" si="138"/>
        <v>Maximilian Beier</v>
      </c>
    </row>
    <row r="370" spans="1:28" s="113" customFormat="1" ht="10.5" customHeight="1" x14ac:dyDescent="0.2">
      <c r="A370" s="201">
        <v>21</v>
      </c>
      <c r="B370" s="195" t="s">
        <v>358</v>
      </c>
      <c r="C370" s="195" t="s">
        <v>3</v>
      </c>
      <c r="D370" s="196" t="s">
        <v>59</v>
      </c>
      <c r="E370" s="196" t="s">
        <v>59</v>
      </c>
      <c r="F370" s="196" t="s">
        <v>59</v>
      </c>
      <c r="G370" s="196" t="s">
        <v>59</v>
      </c>
      <c r="H370" s="197"/>
      <c r="I370" s="196"/>
      <c r="J370" s="181"/>
      <c r="K370" s="182"/>
      <c r="L370" s="182"/>
      <c r="M370" s="182"/>
      <c r="N370" s="182"/>
      <c r="O370" s="182"/>
      <c r="P370" s="182"/>
      <c r="Q370" s="182"/>
      <c r="R370" s="182"/>
      <c r="S370" s="182"/>
      <c r="T370" s="182"/>
      <c r="U370" s="182"/>
      <c r="V370" s="182"/>
      <c r="W370" s="182"/>
      <c r="X370" s="182"/>
      <c r="Y370" s="182"/>
      <c r="Z370" s="172"/>
      <c r="AB370" s="175" t="str">
        <f t="shared" ref="AB370" si="139">B370</f>
        <v>Marius Bülter</v>
      </c>
    </row>
    <row r="371" spans="1:28" s="113" customFormat="1" ht="10.5" customHeight="1" x14ac:dyDescent="0.2">
      <c r="A371" s="201">
        <v>27</v>
      </c>
      <c r="B371" s="195" t="s">
        <v>588</v>
      </c>
      <c r="C371" s="195" t="s">
        <v>3</v>
      </c>
      <c r="D371" s="196" t="s">
        <v>59</v>
      </c>
      <c r="E371" s="196" t="s">
        <v>59</v>
      </c>
      <c r="F371" s="196" t="s">
        <v>59</v>
      </c>
      <c r="G371" s="196" t="s">
        <v>59</v>
      </c>
      <c r="H371" s="197"/>
      <c r="I371" s="196"/>
      <c r="J371" s="181"/>
      <c r="K371" s="182"/>
      <c r="L371" s="182"/>
      <c r="M371" s="182"/>
      <c r="N371" s="182"/>
      <c r="O371" s="182"/>
      <c r="P371" s="182"/>
      <c r="Q371" s="182"/>
      <c r="R371" s="182"/>
      <c r="S371" s="182"/>
      <c r="T371" s="182"/>
      <c r="U371" s="182"/>
      <c r="V371" s="182"/>
      <c r="W371" s="182"/>
      <c r="X371" s="182"/>
      <c r="Y371" s="182"/>
      <c r="Z371" s="172"/>
      <c r="AB371" s="175" t="str">
        <f t="shared" si="138"/>
        <v>Andrej Kramarić (A)</v>
      </c>
    </row>
    <row r="372" spans="1:28" s="113" customFormat="1" ht="10.5" customHeight="1" x14ac:dyDescent="0.2">
      <c r="A372" s="201">
        <v>29</v>
      </c>
      <c r="B372" s="195" t="s">
        <v>193</v>
      </c>
      <c r="C372" s="195" t="s">
        <v>3</v>
      </c>
      <c r="D372" s="196" t="s">
        <v>59</v>
      </c>
      <c r="E372" s="196" t="s">
        <v>59</v>
      </c>
      <c r="F372" s="196" t="s">
        <v>59</v>
      </c>
      <c r="G372" s="196" t="s">
        <v>59</v>
      </c>
      <c r="H372" s="197"/>
      <c r="I372" s="196"/>
      <c r="J372" s="181"/>
      <c r="K372" s="182"/>
      <c r="L372" s="182"/>
      <c r="M372" s="182"/>
      <c r="N372" s="182"/>
      <c r="O372" s="182"/>
      <c r="P372" s="182"/>
      <c r="Q372" s="182"/>
      <c r="R372" s="182"/>
      <c r="S372" s="182"/>
      <c r="T372" s="182"/>
      <c r="U372" s="182"/>
      <c r="V372" s="182"/>
      <c r="W372" s="182"/>
      <c r="X372" s="182"/>
      <c r="Y372" s="182"/>
      <c r="Z372" s="172"/>
      <c r="AB372" s="175" t="str">
        <f t="shared" si="138"/>
        <v>Robert Skov (A)</v>
      </c>
    </row>
    <row r="373" spans="1:28" ht="15" customHeight="1" thickBot="1" x14ac:dyDescent="0.25">
      <c r="A373" s="219" t="s">
        <v>321</v>
      </c>
      <c r="B373" s="219"/>
      <c r="C373" s="219"/>
      <c r="D373" s="219"/>
      <c r="E373" s="219"/>
      <c r="F373" s="219"/>
      <c r="G373" s="219"/>
      <c r="H373" s="219"/>
      <c r="I373" s="219"/>
      <c r="J373" s="10"/>
      <c r="K373" s="176">
        <v>12</v>
      </c>
      <c r="L373" s="176">
        <v>12</v>
      </c>
      <c r="M373" s="176">
        <v>12</v>
      </c>
      <c r="N373" s="176">
        <v>12</v>
      </c>
      <c r="O373" s="176">
        <v>12</v>
      </c>
      <c r="P373" s="176">
        <v>12</v>
      </c>
      <c r="Q373" s="176">
        <v>12</v>
      </c>
      <c r="R373" s="176">
        <v>12</v>
      </c>
      <c r="S373" s="176">
        <v>12</v>
      </c>
      <c r="T373" s="176">
        <v>12</v>
      </c>
      <c r="U373" s="176">
        <v>12</v>
      </c>
      <c r="V373" s="176">
        <v>12</v>
      </c>
      <c r="W373" s="176">
        <v>12</v>
      </c>
      <c r="X373" s="176">
        <v>12</v>
      </c>
      <c r="Y373" s="176">
        <v>12</v>
      </c>
      <c r="Z373" s="217"/>
      <c r="AB373" s="175" t="str">
        <f>A373</f>
        <v>SV Werder Bremen</v>
      </c>
    </row>
    <row r="374" spans="1:28" s="113" customFormat="1" ht="10.5" customHeight="1" x14ac:dyDescent="0.2">
      <c r="A374" s="177">
        <v>1</v>
      </c>
      <c r="B374" s="178" t="s">
        <v>359</v>
      </c>
      <c r="C374" s="178" t="s">
        <v>0</v>
      </c>
      <c r="D374" s="179" t="s">
        <v>59</v>
      </c>
      <c r="E374" s="179" t="s">
        <v>59</v>
      </c>
      <c r="F374" s="180" t="s">
        <v>59</v>
      </c>
      <c r="G374" s="180" t="s">
        <v>59</v>
      </c>
      <c r="H374" s="180"/>
      <c r="I374" s="179"/>
      <c r="J374" s="181"/>
      <c r="K374" s="182"/>
      <c r="L374" s="182"/>
      <c r="M374" s="182"/>
      <c r="N374" s="182"/>
      <c r="O374" s="182"/>
      <c r="P374" s="182"/>
      <c r="Q374" s="182"/>
      <c r="R374" s="182"/>
      <c r="S374" s="182"/>
      <c r="T374" s="182"/>
      <c r="U374" s="182"/>
      <c r="V374" s="182"/>
      <c r="W374" s="182"/>
      <c r="X374" s="182"/>
      <c r="Y374" s="182"/>
      <c r="Z374" s="172"/>
      <c r="AB374" s="175" t="str">
        <f t="shared" ref="AB374" si="140">B374</f>
        <v>Jiri Pavlenka (A)</v>
      </c>
    </row>
    <row r="375" spans="1:28" s="113" customFormat="1" ht="10.5" customHeight="1" x14ac:dyDescent="0.2">
      <c r="A375" s="177">
        <v>30</v>
      </c>
      <c r="B375" s="178" t="s">
        <v>360</v>
      </c>
      <c r="C375" s="178" t="s">
        <v>0</v>
      </c>
      <c r="D375" s="179" t="s">
        <v>59</v>
      </c>
      <c r="E375" s="179" t="s">
        <v>59</v>
      </c>
      <c r="F375" s="180" t="s">
        <v>59</v>
      </c>
      <c r="G375" s="180" t="s">
        <v>59</v>
      </c>
      <c r="H375" s="180"/>
      <c r="I375" s="179"/>
      <c r="J375" s="181"/>
      <c r="K375" s="182"/>
      <c r="L375" s="182"/>
      <c r="M375" s="182"/>
      <c r="N375" s="182"/>
      <c r="O375" s="182"/>
      <c r="P375" s="182"/>
      <c r="Q375" s="182"/>
      <c r="R375" s="182"/>
      <c r="S375" s="182"/>
      <c r="T375" s="182"/>
      <c r="U375" s="182"/>
      <c r="V375" s="182"/>
      <c r="W375" s="182"/>
      <c r="X375" s="182"/>
      <c r="Y375" s="182"/>
      <c r="Z375" s="172"/>
      <c r="AB375" s="175" t="str">
        <f t="shared" ref="AB375:AB377" si="141">B375</f>
        <v>Michael Zetterer</v>
      </c>
    </row>
    <row r="376" spans="1:28" s="113" customFormat="1" ht="10.5" customHeight="1" x14ac:dyDescent="0.2">
      <c r="A376" s="177">
        <v>37</v>
      </c>
      <c r="B376" s="178" t="s">
        <v>635</v>
      </c>
      <c r="C376" s="178" t="s">
        <v>0</v>
      </c>
      <c r="D376" s="179" t="s">
        <v>59</v>
      </c>
      <c r="E376" s="179" t="s">
        <v>59</v>
      </c>
      <c r="F376" s="180" t="s">
        <v>59</v>
      </c>
      <c r="G376" s="180" t="s">
        <v>59</v>
      </c>
      <c r="H376" s="180"/>
      <c r="I376" s="179"/>
      <c r="J376" s="181"/>
      <c r="K376" s="182"/>
      <c r="L376" s="182"/>
      <c r="M376" s="182"/>
      <c r="N376" s="182"/>
      <c r="O376" s="182"/>
      <c r="P376" s="182"/>
      <c r="Q376" s="182"/>
      <c r="R376" s="182"/>
      <c r="S376" s="182"/>
      <c r="T376" s="182"/>
      <c r="U376" s="182"/>
      <c r="V376" s="182"/>
      <c r="W376" s="182"/>
      <c r="X376" s="182"/>
      <c r="Y376" s="182"/>
      <c r="Z376" s="172"/>
      <c r="AB376" s="175" t="str">
        <f t="shared" ref="AB376" si="142">B376</f>
        <v>Spyros Angelidis (A)</v>
      </c>
    </row>
    <row r="377" spans="1:28" s="113" customFormat="1" ht="10.5" customHeight="1" x14ac:dyDescent="0.2">
      <c r="A377" s="177">
        <v>38</v>
      </c>
      <c r="B377" s="178" t="s">
        <v>361</v>
      </c>
      <c r="C377" s="178" t="s">
        <v>0</v>
      </c>
      <c r="D377" s="179" t="s">
        <v>59</v>
      </c>
      <c r="E377" s="179" t="s">
        <v>59</v>
      </c>
      <c r="F377" s="180" t="s">
        <v>59</v>
      </c>
      <c r="G377" s="180" t="s">
        <v>59</v>
      </c>
      <c r="H377" s="180"/>
      <c r="I377" s="179"/>
      <c r="J377" s="181"/>
      <c r="K377" s="182"/>
      <c r="L377" s="182"/>
      <c r="M377" s="182"/>
      <c r="N377" s="182"/>
      <c r="O377" s="182"/>
      <c r="P377" s="182"/>
      <c r="Q377" s="182"/>
      <c r="R377" s="182"/>
      <c r="S377" s="182"/>
      <c r="T377" s="182"/>
      <c r="U377" s="182"/>
      <c r="V377" s="182"/>
      <c r="W377" s="182"/>
      <c r="X377" s="182"/>
      <c r="Y377" s="182"/>
      <c r="Z377" s="172"/>
      <c r="AB377" s="175" t="str">
        <f t="shared" si="141"/>
        <v>Eduardo dos Santos Haesler</v>
      </c>
    </row>
    <row r="378" spans="1:28" s="113" customFormat="1" ht="10.5" customHeight="1" x14ac:dyDescent="0.2">
      <c r="A378" s="198">
        <v>2</v>
      </c>
      <c r="B378" s="199" t="s">
        <v>610</v>
      </c>
      <c r="C378" s="185" t="s">
        <v>1</v>
      </c>
      <c r="D378" s="186" t="s">
        <v>59</v>
      </c>
      <c r="E378" s="186" t="s">
        <v>59</v>
      </c>
      <c r="F378" s="187" t="s">
        <v>59</v>
      </c>
      <c r="G378" s="187" t="s">
        <v>59</v>
      </c>
      <c r="H378" s="187"/>
      <c r="I378" s="186"/>
      <c r="J378" s="181"/>
      <c r="K378" s="182"/>
      <c r="L378" s="182"/>
      <c r="M378" s="182"/>
      <c r="N378" s="182"/>
      <c r="O378" s="182"/>
      <c r="P378" s="182"/>
      <c r="Q378" s="182"/>
      <c r="R378" s="182"/>
      <c r="S378" s="182"/>
      <c r="T378" s="182"/>
      <c r="U378" s="182"/>
      <c r="V378" s="182"/>
      <c r="W378" s="182"/>
      <c r="X378" s="182"/>
      <c r="Y378" s="182"/>
      <c r="Z378" s="172"/>
      <c r="AB378" s="175" t="str">
        <f>B378</f>
        <v>Olivier Deman (A)</v>
      </c>
    </row>
    <row r="379" spans="1:28" s="113" customFormat="1" ht="10.5" customHeight="1" x14ac:dyDescent="0.2">
      <c r="A379" s="198">
        <v>3</v>
      </c>
      <c r="B379" s="199" t="s">
        <v>362</v>
      </c>
      <c r="C379" s="185" t="s">
        <v>1</v>
      </c>
      <c r="D379" s="186" t="s">
        <v>59</v>
      </c>
      <c r="E379" s="186" t="s">
        <v>59</v>
      </c>
      <c r="F379" s="187" t="s">
        <v>59</v>
      </c>
      <c r="G379" s="187" t="s">
        <v>59</v>
      </c>
      <c r="H379" s="187"/>
      <c r="I379" s="186"/>
      <c r="J379" s="181"/>
      <c r="K379" s="182"/>
      <c r="L379" s="182"/>
      <c r="M379" s="182"/>
      <c r="N379" s="182"/>
      <c r="O379" s="182"/>
      <c r="P379" s="182"/>
      <c r="Q379" s="182"/>
      <c r="R379" s="182"/>
      <c r="S379" s="182"/>
      <c r="T379" s="182"/>
      <c r="U379" s="182"/>
      <c r="V379" s="182"/>
      <c r="W379" s="182"/>
      <c r="X379" s="182"/>
      <c r="Y379" s="182"/>
      <c r="Z379" s="172"/>
      <c r="AB379" s="175" t="str">
        <f>B379</f>
        <v>Anthony Jung</v>
      </c>
    </row>
    <row r="380" spans="1:28" s="113" customFormat="1" ht="10.5" customHeight="1" x14ac:dyDescent="0.2">
      <c r="A380" s="198">
        <v>4</v>
      </c>
      <c r="B380" s="199" t="s">
        <v>144</v>
      </c>
      <c r="C380" s="185" t="s">
        <v>1</v>
      </c>
      <c r="D380" s="186" t="s">
        <v>59</v>
      </c>
      <c r="E380" s="186" t="s">
        <v>59</v>
      </c>
      <c r="F380" s="187" t="s">
        <v>59</v>
      </c>
      <c r="G380" s="187" t="s">
        <v>59</v>
      </c>
      <c r="H380" s="187"/>
      <c r="I380" s="186"/>
      <c r="J380" s="181"/>
      <c r="K380" s="182"/>
      <c r="L380" s="182"/>
      <c r="M380" s="182"/>
      <c r="N380" s="182"/>
      <c r="O380" s="182"/>
      <c r="P380" s="182"/>
      <c r="Q380" s="182"/>
      <c r="R380" s="182"/>
      <c r="S380" s="182"/>
      <c r="T380" s="182"/>
      <c r="U380" s="182"/>
      <c r="V380" s="182"/>
      <c r="W380" s="182"/>
      <c r="X380" s="182"/>
      <c r="Y380" s="182"/>
      <c r="Z380" s="172"/>
      <c r="AB380" s="175" t="str">
        <f t="shared" ref="AB380:AB387" si="143">B380</f>
        <v>Niklas Stark</v>
      </c>
    </row>
    <row r="381" spans="1:28" s="113" customFormat="1" ht="10.5" customHeight="1" x14ac:dyDescent="0.2">
      <c r="A381" s="198">
        <v>5</v>
      </c>
      <c r="B381" s="199" t="s">
        <v>237</v>
      </c>
      <c r="C381" s="185" t="s">
        <v>1</v>
      </c>
      <c r="D381" s="186" t="s">
        <v>59</v>
      </c>
      <c r="E381" s="186" t="s">
        <v>59</v>
      </c>
      <c r="F381" s="187" t="s">
        <v>59</v>
      </c>
      <c r="G381" s="187" t="s">
        <v>59</v>
      </c>
      <c r="H381" s="187"/>
      <c r="I381" s="186"/>
      <c r="J381" s="181"/>
      <c r="K381" s="182"/>
      <c r="L381" s="182"/>
      <c r="M381" s="182"/>
      <c r="N381" s="182"/>
      <c r="O381" s="182"/>
      <c r="P381" s="182"/>
      <c r="Q381" s="182"/>
      <c r="R381" s="182"/>
      <c r="S381" s="182"/>
      <c r="T381" s="182"/>
      <c r="U381" s="182"/>
      <c r="V381" s="182"/>
      <c r="W381" s="182"/>
      <c r="X381" s="182"/>
      <c r="Y381" s="182"/>
      <c r="Z381" s="172"/>
      <c r="AB381" s="175" t="str">
        <f t="shared" si="143"/>
        <v>Amos Pieper</v>
      </c>
    </row>
    <row r="382" spans="1:28" s="113" customFormat="1" ht="10.5" customHeight="1" x14ac:dyDescent="0.2">
      <c r="A382" s="198">
        <v>8</v>
      </c>
      <c r="B382" s="199" t="s">
        <v>363</v>
      </c>
      <c r="C382" s="185" t="s">
        <v>1</v>
      </c>
      <c r="D382" s="186" t="s">
        <v>59</v>
      </c>
      <c r="E382" s="186" t="s">
        <v>59</v>
      </c>
      <c r="F382" s="187" t="s">
        <v>59</v>
      </c>
      <c r="G382" s="187" t="s">
        <v>59</v>
      </c>
      <c r="H382" s="187"/>
      <c r="I382" s="186"/>
      <c r="J382" s="181"/>
      <c r="K382" s="182">
        <v>7</v>
      </c>
      <c r="L382" s="182"/>
      <c r="M382" s="182"/>
      <c r="N382" s="182"/>
      <c r="O382" s="182">
        <v>3</v>
      </c>
      <c r="P382" s="182"/>
      <c r="Q382" s="182"/>
      <c r="R382" s="182"/>
      <c r="S382" s="182"/>
      <c r="T382" s="182"/>
      <c r="U382" s="182"/>
      <c r="V382" s="182"/>
      <c r="W382" s="182"/>
      <c r="X382" s="182"/>
      <c r="Y382" s="182"/>
      <c r="Z382" s="172"/>
      <c r="AB382" s="175" t="str">
        <f t="shared" si="143"/>
        <v>Mitchell Weiser</v>
      </c>
    </row>
    <row r="383" spans="1:28" s="113" customFormat="1" ht="10.5" customHeight="1" x14ac:dyDescent="0.2">
      <c r="A383" s="198">
        <v>13</v>
      </c>
      <c r="B383" s="199" t="s">
        <v>597</v>
      </c>
      <c r="C383" s="185" t="s">
        <v>1</v>
      </c>
      <c r="D383" s="186" t="s">
        <v>59</v>
      </c>
      <c r="E383" s="186" t="s">
        <v>59</v>
      </c>
      <c r="F383" s="187" t="s">
        <v>59</v>
      </c>
      <c r="G383" s="187" t="s">
        <v>59</v>
      </c>
      <c r="H383" s="187"/>
      <c r="I383" s="186"/>
      <c r="J383" s="181"/>
      <c r="K383" s="182"/>
      <c r="L383" s="182"/>
      <c r="M383" s="182"/>
      <c r="N383" s="182"/>
      <c r="O383" s="182"/>
      <c r="P383" s="182"/>
      <c r="Q383" s="182"/>
      <c r="R383" s="182"/>
      <c r="S383" s="182"/>
      <c r="T383" s="182"/>
      <c r="U383" s="182"/>
      <c r="V383" s="182"/>
      <c r="W383" s="182"/>
      <c r="X383" s="182"/>
      <c r="Y383" s="182"/>
      <c r="Z383" s="172"/>
      <c r="AB383" s="175" t="str">
        <f t="shared" si="143"/>
        <v>Miloš Veljković (A)</v>
      </c>
    </row>
    <row r="384" spans="1:28" s="113" customFormat="1" ht="10.5" customHeight="1" x14ac:dyDescent="0.2">
      <c r="A384" s="198">
        <v>22</v>
      </c>
      <c r="B384" s="199" t="s">
        <v>651</v>
      </c>
      <c r="C384" s="185" t="s">
        <v>1</v>
      </c>
      <c r="D384" s="186" t="s">
        <v>59</v>
      </c>
      <c r="E384" s="186" t="s">
        <v>59</v>
      </c>
      <c r="F384" s="187" t="s">
        <v>59</v>
      </c>
      <c r="G384" s="187" t="s">
        <v>59</v>
      </c>
      <c r="H384" s="187"/>
      <c r="I384" s="186"/>
      <c r="J384" s="181"/>
      <c r="K384" s="182"/>
      <c r="L384" s="182"/>
      <c r="M384" s="182"/>
      <c r="N384" s="182"/>
      <c r="O384" s="182"/>
      <c r="P384" s="182"/>
      <c r="Q384" s="182"/>
      <c r="R384" s="182"/>
      <c r="S384" s="182"/>
      <c r="T384" s="182"/>
      <c r="U384" s="182"/>
      <c r="V384" s="182"/>
      <c r="W384" s="182"/>
      <c r="X384" s="182"/>
      <c r="Y384" s="182"/>
      <c r="Z384" s="172"/>
      <c r="AB384" s="175" t="str">
        <f t="shared" ref="AB384" si="144">B384</f>
        <v>Julián Malatini (A)</v>
      </c>
    </row>
    <row r="385" spans="1:28" s="113" customFormat="1" ht="10.5" customHeight="1" x14ac:dyDescent="0.2">
      <c r="A385" s="198">
        <v>27</v>
      </c>
      <c r="B385" s="199" t="s">
        <v>364</v>
      </c>
      <c r="C385" s="185" t="s">
        <v>1</v>
      </c>
      <c r="D385" s="186" t="s">
        <v>59</v>
      </c>
      <c r="E385" s="186" t="s">
        <v>59</v>
      </c>
      <c r="F385" s="187" t="s">
        <v>59</v>
      </c>
      <c r="G385" s="187" t="s">
        <v>59</v>
      </c>
      <c r="H385" s="187"/>
      <c r="I385" s="186"/>
      <c r="J385" s="181"/>
      <c r="K385" s="182"/>
      <c r="L385" s="182"/>
      <c r="M385" s="182"/>
      <c r="N385" s="182"/>
      <c r="O385" s="182"/>
      <c r="P385" s="182"/>
      <c r="Q385" s="182"/>
      <c r="R385" s="182"/>
      <c r="S385" s="182"/>
      <c r="T385" s="182"/>
      <c r="U385" s="182"/>
      <c r="V385" s="182"/>
      <c r="W385" s="182"/>
      <c r="X385" s="182"/>
      <c r="Y385" s="182"/>
      <c r="Z385" s="172"/>
      <c r="AB385" s="175" t="str">
        <f t="shared" si="143"/>
        <v>Felix Agu</v>
      </c>
    </row>
    <row r="386" spans="1:28" s="113" customFormat="1" ht="10.5" customHeight="1" x14ac:dyDescent="0.2">
      <c r="A386" s="198">
        <v>32</v>
      </c>
      <c r="B386" s="199" t="s">
        <v>365</v>
      </c>
      <c r="C386" s="185" t="s">
        <v>1</v>
      </c>
      <c r="D386" s="186" t="s">
        <v>59</v>
      </c>
      <c r="E386" s="186" t="s">
        <v>59</v>
      </c>
      <c r="F386" s="187" t="s">
        <v>59</v>
      </c>
      <c r="G386" s="187" t="s">
        <v>59</v>
      </c>
      <c r="H386" s="187"/>
      <c r="I386" s="186"/>
      <c r="J386" s="181"/>
      <c r="K386" s="182"/>
      <c r="L386" s="182"/>
      <c r="M386" s="182"/>
      <c r="N386" s="182"/>
      <c r="O386" s="182"/>
      <c r="P386" s="182"/>
      <c r="Q386" s="182"/>
      <c r="R386" s="182"/>
      <c r="S386" s="182"/>
      <c r="T386" s="182"/>
      <c r="U386" s="182"/>
      <c r="V386" s="182"/>
      <c r="W386" s="182"/>
      <c r="X386" s="182"/>
      <c r="Y386" s="182"/>
      <c r="Z386" s="172"/>
      <c r="AB386" s="175" t="str">
        <f t="shared" si="143"/>
        <v>Marco Friedl (A)</v>
      </c>
    </row>
    <row r="387" spans="1:28" s="113" customFormat="1" ht="10.5" customHeight="1" x14ac:dyDescent="0.2">
      <c r="A387" s="198">
        <v>36</v>
      </c>
      <c r="B387" s="199" t="s">
        <v>366</v>
      </c>
      <c r="C387" s="185" t="s">
        <v>1</v>
      </c>
      <c r="D387" s="186" t="s">
        <v>59</v>
      </c>
      <c r="E387" s="186" t="s">
        <v>59</v>
      </c>
      <c r="F387" s="187" t="s">
        <v>59</v>
      </c>
      <c r="G387" s="187" t="s">
        <v>59</v>
      </c>
      <c r="H387" s="187"/>
      <c r="I387" s="186"/>
      <c r="J387" s="181"/>
      <c r="K387" s="182"/>
      <c r="L387" s="182"/>
      <c r="M387" s="182"/>
      <c r="N387" s="182"/>
      <c r="O387" s="182"/>
      <c r="P387" s="182"/>
      <c r="Q387" s="182"/>
      <c r="R387" s="182"/>
      <c r="S387" s="182"/>
      <c r="T387" s="182"/>
      <c r="U387" s="182"/>
      <c r="V387" s="182"/>
      <c r="W387" s="182"/>
      <c r="X387" s="182"/>
      <c r="Y387" s="182"/>
      <c r="Z387" s="172"/>
      <c r="AB387" s="175" t="str">
        <f t="shared" si="143"/>
        <v>Christian Gross</v>
      </c>
    </row>
    <row r="388" spans="1:28" s="113" customFormat="1" ht="10.5" customHeight="1" x14ac:dyDescent="0.2">
      <c r="A388" s="198">
        <v>40</v>
      </c>
      <c r="B388" s="199" t="s">
        <v>636</v>
      </c>
      <c r="C388" s="185" t="s">
        <v>1</v>
      </c>
      <c r="D388" s="186" t="s">
        <v>59</v>
      </c>
      <c r="E388" s="186" t="s">
        <v>59</v>
      </c>
      <c r="F388" s="187" t="s">
        <v>59</v>
      </c>
      <c r="G388" s="187" t="s">
        <v>59</v>
      </c>
      <c r="H388" s="187"/>
      <c r="I388" s="186"/>
      <c r="J388" s="181"/>
      <c r="K388" s="182"/>
      <c r="L388" s="182"/>
      <c r="M388" s="182"/>
      <c r="N388" s="182"/>
      <c r="O388" s="182"/>
      <c r="P388" s="182"/>
      <c r="Q388" s="182"/>
      <c r="R388" s="182"/>
      <c r="S388" s="182"/>
      <c r="T388" s="182"/>
      <c r="U388" s="182"/>
      <c r="V388" s="182"/>
      <c r="W388" s="182"/>
      <c r="X388" s="182"/>
      <c r="Y388" s="182"/>
      <c r="Z388" s="172"/>
      <c r="AB388" s="175" t="str">
        <f t="shared" ref="AB388" si="145">B388</f>
        <v>Cimo Röcker</v>
      </c>
    </row>
    <row r="389" spans="1:28" s="113" customFormat="1" ht="10.5" customHeight="1" x14ac:dyDescent="0.2">
      <c r="A389" s="188">
        <v>6</v>
      </c>
      <c r="B389" s="189" t="s">
        <v>368</v>
      </c>
      <c r="C389" s="190" t="s">
        <v>2</v>
      </c>
      <c r="D389" s="191" t="s">
        <v>59</v>
      </c>
      <c r="E389" s="191" t="s">
        <v>59</v>
      </c>
      <c r="F389" s="192" t="s">
        <v>59</v>
      </c>
      <c r="G389" s="192" t="s">
        <v>59</v>
      </c>
      <c r="H389" s="192"/>
      <c r="I389" s="191"/>
      <c r="J389" s="181"/>
      <c r="K389" s="182"/>
      <c r="L389" s="182"/>
      <c r="M389" s="182"/>
      <c r="N389" s="182"/>
      <c r="O389" s="182"/>
      <c r="P389" s="182"/>
      <c r="Q389" s="182"/>
      <c r="R389" s="182"/>
      <c r="S389" s="182"/>
      <c r="T389" s="182"/>
      <c r="U389" s="182"/>
      <c r="V389" s="182"/>
      <c r="W389" s="182"/>
      <c r="X389" s="182"/>
      <c r="Y389" s="182"/>
      <c r="Z389" s="172"/>
      <c r="AB389" s="175" t="str">
        <f t="shared" ref="AB389" si="146">B389</f>
        <v>Jens Stage (A)</v>
      </c>
    </row>
    <row r="390" spans="1:28" s="113" customFormat="1" ht="10.5" customHeight="1" x14ac:dyDescent="0.2">
      <c r="A390" s="188">
        <v>10</v>
      </c>
      <c r="B390" s="189" t="s">
        <v>369</v>
      </c>
      <c r="C390" s="190" t="s">
        <v>2</v>
      </c>
      <c r="D390" s="191" t="s">
        <v>59</v>
      </c>
      <c r="E390" s="191" t="s">
        <v>59</v>
      </c>
      <c r="F390" s="192" t="s">
        <v>59</v>
      </c>
      <c r="G390" s="192" t="s">
        <v>59</v>
      </c>
      <c r="H390" s="192"/>
      <c r="I390" s="191"/>
      <c r="J390" s="181"/>
      <c r="K390" s="182"/>
      <c r="L390" s="182"/>
      <c r="M390" s="182"/>
      <c r="N390" s="182"/>
      <c r="O390" s="182"/>
      <c r="P390" s="182"/>
      <c r="Q390" s="182"/>
      <c r="R390" s="182"/>
      <c r="S390" s="182"/>
      <c r="T390" s="182"/>
      <c r="U390" s="182"/>
      <c r="V390" s="182"/>
      <c r="W390" s="182"/>
      <c r="X390" s="182"/>
      <c r="Y390" s="182"/>
      <c r="Z390" s="172"/>
      <c r="AB390" s="175" t="str">
        <f t="shared" ref="AB390:AB392" si="147">B390</f>
        <v>Leonardo Bittencourt</v>
      </c>
    </row>
    <row r="391" spans="1:28" s="113" customFormat="1" ht="10.5" customHeight="1" x14ac:dyDescent="0.2">
      <c r="A391" s="188">
        <v>14</v>
      </c>
      <c r="B391" s="189" t="s">
        <v>465</v>
      </c>
      <c r="C391" s="190" t="s">
        <v>2</v>
      </c>
      <c r="D391" s="191" t="s">
        <v>59</v>
      </c>
      <c r="E391" s="191" t="s">
        <v>59</v>
      </c>
      <c r="F391" s="192" t="s">
        <v>59</v>
      </c>
      <c r="G391" s="192" t="s">
        <v>59</v>
      </c>
      <c r="H391" s="192"/>
      <c r="I391" s="191"/>
      <c r="J391" s="181"/>
      <c r="K391" s="182"/>
      <c r="L391" s="182"/>
      <c r="M391" s="182"/>
      <c r="N391" s="182"/>
      <c r="O391" s="182"/>
      <c r="P391" s="182"/>
      <c r="Q391" s="182"/>
      <c r="R391" s="182"/>
      <c r="S391" s="182"/>
      <c r="T391" s="182"/>
      <c r="U391" s="182"/>
      <c r="V391" s="182"/>
      <c r="W391" s="182"/>
      <c r="X391" s="182"/>
      <c r="Y391" s="182"/>
      <c r="Z391" s="172"/>
      <c r="AB391" s="175" t="str">
        <f t="shared" si="147"/>
        <v>Senne Lynen (A)</v>
      </c>
    </row>
    <row r="392" spans="1:28" s="113" customFormat="1" ht="10.5" customHeight="1" x14ac:dyDescent="0.2">
      <c r="A392" s="188">
        <v>18</v>
      </c>
      <c r="B392" s="189" t="s">
        <v>466</v>
      </c>
      <c r="C392" s="190" t="s">
        <v>2</v>
      </c>
      <c r="D392" s="191" t="s">
        <v>59</v>
      </c>
      <c r="E392" s="191" t="s">
        <v>59</v>
      </c>
      <c r="F392" s="192" t="s">
        <v>59</v>
      </c>
      <c r="G392" s="192" t="s">
        <v>59</v>
      </c>
      <c r="H392" s="192"/>
      <c r="I392" s="191"/>
      <c r="J392" s="181"/>
      <c r="K392" s="182"/>
      <c r="L392" s="182"/>
      <c r="M392" s="182"/>
      <c r="N392" s="182"/>
      <c r="O392" s="182"/>
      <c r="P392" s="182"/>
      <c r="Q392" s="182"/>
      <c r="R392" s="182"/>
      <c r="S392" s="182"/>
      <c r="T392" s="182"/>
      <c r="U392" s="182"/>
      <c r="V392" s="182"/>
      <c r="W392" s="182"/>
      <c r="X392" s="182"/>
      <c r="Y392" s="182"/>
      <c r="Z392" s="172"/>
      <c r="AB392" s="175" t="str">
        <f t="shared" si="147"/>
        <v>Naby Keita (A)</v>
      </c>
    </row>
    <row r="393" spans="1:28" s="113" customFormat="1" ht="10.5" customHeight="1" x14ac:dyDescent="0.2">
      <c r="A393" s="188">
        <v>20</v>
      </c>
      <c r="B393" s="189" t="s">
        <v>370</v>
      </c>
      <c r="C393" s="190" t="s">
        <v>2</v>
      </c>
      <c r="D393" s="191" t="s">
        <v>59</v>
      </c>
      <c r="E393" s="191" t="s">
        <v>59</v>
      </c>
      <c r="F393" s="192" t="s">
        <v>59</v>
      </c>
      <c r="G393" s="192" t="s">
        <v>59</v>
      </c>
      <c r="H393" s="192"/>
      <c r="I393" s="191"/>
      <c r="J393" s="181"/>
      <c r="K393" s="182"/>
      <c r="L393" s="182"/>
      <c r="M393" s="182"/>
      <c r="N393" s="182"/>
      <c r="O393" s="182"/>
      <c r="P393" s="182"/>
      <c r="Q393" s="182"/>
      <c r="R393" s="182"/>
      <c r="S393" s="182"/>
      <c r="T393" s="182"/>
      <c r="U393" s="182"/>
      <c r="V393" s="182"/>
      <c r="W393" s="182"/>
      <c r="X393" s="182"/>
      <c r="Y393" s="182"/>
      <c r="Z393" s="172"/>
      <c r="AB393" s="175" t="str">
        <f t="shared" ref="AB393:AB395" si="148">B393</f>
        <v>Romano Schmid (A)</v>
      </c>
    </row>
    <row r="394" spans="1:28" s="113" customFormat="1" ht="10.5" customHeight="1" x14ac:dyDescent="0.2">
      <c r="A394" s="188">
        <v>21</v>
      </c>
      <c r="B394" s="189" t="s">
        <v>668</v>
      </c>
      <c r="C394" s="190" t="s">
        <v>2</v>
      </c>
      <c r="D394" s="191" t="s">
        <v>59</v>
      </c>
      <c r="E394" s="191" t="s">
        <v>59</v>
      </c>
      <c r="F394" s="192" t="s">
        <v>59</v>
      </c>
      <c r="G394" s="192" t="s">
        <v>59</v>
      </c>
      <c r="H394" s="192"/>
      <c r="I394" s="191"/>
      <c r="J394" s="181"/>
      <c r="K394" s="182"/>
      <c r="L394" s="182"/>
      <c r="M394" s="182"/>
      <c r="N394" s="182"/>
      <c r="O394" s="182"/>
      <c r="P394" s="182"/>
      <c r="Q394" s="182"/>
      <c r="R394" s="182"/>
      <c r="S394" s="182"/>
      <c r="T394" s="182"/>
      <c r="U394" s="182"/>
      <c r="V394" s="182"/>
      <c r="W394" s="182"/>
      <c r="X394" s="182"/>
      <c r="Y394" s="182"/>
      <c r="Z394" s="172"/>
      <c r="AB394" s="175" t="str">
        <f t="shared" ref="AB394" si="149">B394</f>
        <v>Isak Hansen-Aarøen (A)</v>
      </c>
    </row>
    <row r="395" spans="1:28" s="113" customFormat="1" ht="10.5" customHeight="1" x14ac:dyDescent="0.2">
      <c r="A395" s="188">
        <v>28</v>
      </c>
      <c r="B395" s="189" t="s">
        <v>669</v>
      </c>
      <c r="C395" s="190" t="s">
        <v>2</v>
      </c>
      <c r="D395" s="191" t="s">
        <v>59</v>
      </c>
      <c r="E395" s="191" t="s">
        <v>59</v>
      </c>
      <c r="F395" s="192" t="s">
        <v>59</v>
      </c>
      <c r="G395" s="192" t="s">
        <v>59</v>
      </c>
      <c r="H395" s="192"/>
      <c r="I395" s="191"/>
      <c r="J395" s="181"/>
      <c r="K395" s="182"/>
      <c r="L395" s="182"/>
      <c r="M395" s="182"/>
      <c r="N395" s="182"/>
      <c r="O395" s="182"/>
      <c r="P395" s="182"/>
      <c r="Q395" s="182"/>
      <c r="R395" s="182"/>
      <c r="S395" s="182"/>
      <c r="T395" s="182"/>
      <c r="U395" s="182"/>
      <c r="V395" s="182"/>
      <c r="W395" s="182"/>
      <c r="X395" s="182"/>
      <c r="Y395" s="182"/>
      <c r="Z395" s="172"/>
      <c r="AB395" s="175" t="str">
        <f t="shared" si="148"/>
        <v>Skelly Alvero (A)</v>
      </c>
    </row>
    <row r="396" spans="1:28" s="113" customFormat="1" ht="10.5" customHeight="1" x14ac:dyDescent="0.2">
      <c r="A396" s="188">
        <v>35</v>
      </c>
      <c r="B396" s="189" t="s">
        <v>546</v>
      </c>
      <c r="C396" s="190" t="s">
        <v>2</v>
      </c>
      <c r="D396" s="191" t="s">
        <v>59</v>
      </c>
      <c r="E396" s="191" t="s">
        <v>59</v>
      </c>
      <c r="F396" s="192" t="s">
        <v>59</v>
      </c>
      <c r="G396" s="192" t="s">
        <v>59</v>
      </c>
      <c r="H396" s="192"/>
      <c r="I396" s="191"/>
      <c r="J396" s="181"/>
      <c r="K396" s="182"/>
      <c r="L396" s="182"/>
      <c r="M396" s="182"/>
      <c r="N396" s="182"/>
      <c r="O396" s="182"/>
      <c r="P396" s="182"/>
      <c r="Q396" s="182"/>
      <c r="R396" s="182"/>
      <c r="S396" s="182"/>
      <c r="T396" s="182"/>
      <c r="U396" s="182"/>
      <c r="V396" s="182"/>
      <c r="W396" s="182"/>
      <c r="X396" s="182"/>
      <c r="Y396" s="182"/>
      <c r="Z396" s="172"/>
      <c r="AB396" s="175" t="str">
        <f t="shared" ref="AB396" si="150">B396</f>
        <v>Leon Opitz</v>
      </c>
    </row>
    <row r="397" spans="1:28" s="113" customFormat="1" ht="10.5" customHeight="1" x14ac:dyDescent="0.2">
      <c r="A397" s="193">
        <v>7</v>
      </c>
      <c r="B397" s="194" t="s">
        <v>371</v>
      </c>
      <c r="C397" s="195" t="s">
        <v>3</v>
      </c>
      <c r="D397" s="196" t="s">
        <v>59</v>
      </c>
      <c r="E397" s="196" t="s">
        <v>59</v>
      </c>
      <c r="F397" s="197" t="s">
        <v>59</v>
      </c>
      <c r="G397" s="197" t="s">
        <v>59</v>
      </c>
      <c r="H397" s="197"/>
      <c r="I397" s="196"/>
      <c r="J397" s="181"/>
      <c r="K397" s="182"/>
      <c r="L397" s="182"/>
      <c r="M397" s="182"/>
      <c r="N397" s="182"/>
      <c r="O397" s="182"/>
      <c r="P397" s="182"/>
      <c r="Q397" s="182"/>
      <c r="R397" s="182"/>
      <c r="S397" s="182"/>
      <c r="T397" s="182"/>
      <c r="U397" s="182"/>
      <c r="V397" s="182"/>
      <c r="W397" s="182"/>
      <c r="X397" s="182"/>
      <c r="Y397" s="182"/>
      <c r="Z397" s="172"/>
      <c r="AB397" s="175" t="str">
        <f t="shared" ref="AB397:AB399" si="151">B397</f>
        <v>Marvin Ducksch</v>
      </c>
    </row>
    <row r="398" spans="1:28" s="113" customFormat="1" ht="10.5" customHeight="1" x14ac:dyDescent="0.2">
      <c r="A398" s="193">
        <v>9</v>
      </c>
      <c r="B398" s="194" t="s">
        <v>467</v>
      </c>
      <c r="C398" s="195" t="s">
        <v>3</v>
      </c>
      <c r="D398" s="196" t="s">
        <v>59</v>
      </c>
      <c r="E398" s="196" t="s">
        <v>59</v>
      </c>
      <c r="F398" s="197" t="s">
        <v>59</v>
      </c>
      <c r="G398" s="197" t="s">
        <v>59</v>
      </c>
      <c r="H398" s="197"/>
      <c r="I398" s="196"/>
      <c r="J398" s="181"/>
      <c r="K398" s="182"/>
      <c r="L398" s="182"/>
      <c r="M398" s="182"/>
      <c r="N398" s="182"/>
      <c r="O398" s="182"/>
      <c r="P398" s="182"/>
      <c r="Q398" s="182"/>
      <c r="R398" s="182"/>
      <c r="S398" s="182"/>
      <c r="T398" s="182"/>
      <c r="U398" s="182"/>
      <c r="V398" s="182"/>
      <c r="W398" s="182"/>
      <c r="X398" s="182"/>
      <c r="Y398" s="182"/>
      <c r="Z398" s="172"/>
      <c r="AB398" s="175" t="str">
        <f t="shared" si="151"/>
        <v>Dawid Kownacki (A)</v>
      </c>
    </row>
    <row r="399" spans="1:28" s="113" customFormat="1" ht="10.5" customHeight="1" x14ac:dyDescent="0.2">
      <c r="A399" s="193">
        <v>17</v>
      </c>
      <c r="B399" s="194" t="s">
        <v>468</v>
      </c>
      <c r="C399" s="195" t="s">
        <v>3</v>
      </c>
      <c r="D399" s="196" t="s">
        <v>59</v>
      </c>
      <c r="E399" s="196" t="s">
        <v>59</v>
      </c>
      <c r="F399" s="197" t="s">
        <v>59</v>
      </c>
      <c r="G399" s="197" t="s">
        <v>59</v>
      </c>
      <c r="H399" s="197"/>
      <c r="I399" s="196"/>
      <c r="J399" s="181"/>
      <c r="K399" s="182"/>
      <c r="L399" s="182"/>
      <c r="M399" s="182"/>
      <c r="N399" s="182"/>
      <c r="O399" s="182"/>
      <c r="P399" s="182"/>
      <c r="Q399" s="182"/>
      <c r="R399" s="182"/>
      <c r="S399" s="182"/>
      <c r="T399" s="182"/>
      <c r="U399" s="182"/>
      <c r="V399" s="182"/>
      <c r="W399" s="182"/>
      <c r="X399" s="182"/>
      <c r="Y399" s="182"/>
      <c r="Z399" s="172"/>
      <c r="AB399" s="175" t="str">
        <f t="shared" si="151"/>
        <v>Justin Njinmah</v>
      </c>
    </row>
    <row r="400" spans="1:28" s="113" customFormat="1" ht="10.5" customHeight="1" x14ac:dyDescent="0.2">
      <c r="A400" s="193">
        <v>19</v>
      </c>
      <c r="B400" s="194" t="s">
        <v>577</v>
      </c>
      <c r="C400" s="195" t="s">
        <v>3</v>
      </c>
      <c r="D400" s="196" t="s">
        <v>59</v>
      </c>
      <c r="E400" s="196" t="s">
        <v>59</v>
      </c>
      <c r="F400" s="197" t="s">
        <v>59</v>
      </c>
      <c r="G400" s="197" t="s">
        <v>59</v>
      </c>
      <c r="H400" s="197"/>
      <c r="I400" s="196"/>
      <c r="J400" s="181"/>
      <c r="K400" s="182"/>
      <c r="L400" s="182"/>
      <c r="M400" s="182"/>
      <c r="N400" s="182"/>
      <c r="O400" s="182"/>
      <c r="P400" s="182"/>
      <c r="Q400" s="182"/>
      <c r="R400" s="182"/>
      <c r="S400" s="182"/>
      <c r="T400" s="182"/>
      <c r="U400" s="182"/>
      <c r="V400" s="182"/>
      <c r="W400" s="182"/>
      <c r="X400" s="182"/>
      <c r="Y400" s="182"/>
      <c r="Z400" s="172"/>
      <c r="AB400" s="175" t="str">
        <f>B400</f>
        <v>Rafael Borré (A)</v>
      </c>
    </row>
    <row r="401" spans="1:28" s="113" customFormat="1" ht="10.5" customHeight="1" x14ac:dyDescent="0.2">
      <c r="A401" s="193">
        <v>29</v>
      </c>
      <c r="B401" s="194" t="s">
        <v>469</v>
      </c>
      <c r="C401" s="195" t="s">
        <v>3</v>
      </c>
      <c r="D401" s="196" t="s">
        <v>59</v>
      </c>
      <c r="E401" s="196" t="s">
        <v>59</v>
      </c>
      <c r="F401" s="197" t="s">
        <v>59</v>
      </c>
      <c r="G401" s="197" t="s">
        <v>59</v>
      </c>
      <c r="H401" s="197"/>
      <c r="I401" s="196"/>
      <c r="J401" s="181"/>
      <c r="K401" s="182"/>
      <c r="L401" s="182"/>
      <c r="M401" s="182"/>
      <c r="N401" s="182"/>
      <c r="O401" s="182"/>
      <c r="P401" s="182">
        <v>10</v>
      </c>
      <c r="Q401" s="182"/>
      <c r="R401" s="182"/>
      <c r="S401" s="182"/>
      <c r="T401" s="182"/>
      <c r="U401" s="182"/>
      <c r="V401" s="182"/>
      <c r="W401" s="182"/>
      <c r="X401" s="182"/>
      <c r="Y401" s="182"/>
      <c r="Z401" s="172"/>
      <c r="AB401" s="175" t="str">
        <f t="shared" ref="AB401" si="152">B401</f>
        <v>Nick Woltemade</v>
      </c>
    </row>
    <row r="402" spans="1:28" ht="15" customHeight="1" thickBot="1" x14ac:dyDescent="0.25">
      <c r="A402" s="220" t="s">
        <v>259</v>
      </c>
      <c r="B402" s="220"/>
      <c r="C402" s="220"/>
      <c r="D402" s="220"/>
      <c r="E402" s="220"/>
      <c r="F402" s="220"/>
      <c r="G402" s="220"/>
      <c r="H402" s="220"/>
      <c r="I402" s="220"/>
      <c r="J402" s="10"/>
      <c r="K402" s="176">
        <v>12</v>
      </c>
      <c r="L402" s="176">
        <v>12</v>
      </c>
      <c r="M402" s="176">
        <v>12</v>
      </c>
      <c r="N402" s="176">
        <v>12</v>
      </c>
      <c r="O402" s="176">
        <v>12</v>
      </c>
      <c r="P402" s="176">
        <v>12</v>
      </c>
      <c r="Q402" s="176">
        <v>12</v>
      </c>
      <c r="R402" s="176">
        <v>12</v>
      </c>
      <c r="S402" s="176">
        <v>12</v>
      </c>
      <c r="T402" s="176">
        <v>12</v>
      </c>
      <c r="U402" s="176">
        <v>12</v>
      </c>
      <c r="V402" s="176">
        <v>12</v>
      </c>
      <c r="W402" s="176">
        <v>12</v>
      </c>
      <c r="X402" s="176">
        <v>12</v>
      </c>
      <c r="Y402" s="176">
        <v>12</v>
      </c>
      <c r="Z402" s="217"/>
      <c r="AB402" s="175" t="str">
        <f>A402</f>
        <v>VfL Bochum</v>
      </c>
    </row>
    <row r="403" spans="1:28" s="113" customFormat="1" ht="10.5" customHeight="1" x14ac:dyDescent="0.2">
      <c r="A403" s="177">
        <v>1</v>
      </c>
      <c r="B403" s="178" t="s">
        <v>302</v>
      </c>
      <c r="C403" s="178" t="s">
        <v>0</v>
      </c>
      <c r="D403" s="179" t="s">
        <v>59</v>
      </c>
      <c r="E403" s="179" t="s">
        <v>59</v>
      </c>
      <c r="F403" s="180" t="s">
        <v>59</v>
      </c>
      <c r="G403" s="180" t="s">
        <v>59</v>
      </c>
      <c r="H403" s="180"/>
      <c r="I403" s="179"/>
      <c r="J403" s="181"/>
      <c r="K403" s="182"/>
      <c r="L403" s="182"/>
      <c r="M403" s="182"/>
      <c r="N403" s="182"/>
      <c r="O403" s="182"/>
      <c r="P403" s="182"/>
      <c r="Q403" s="182"/>
      <c r="R403" s="182"/>
      <c r="S403" s="182"/>
      <c r="T403" s="182"/>
      <c r="U403" s="182"/>
      <c r="V403" s="182"/>
      <c r="W403" s="182"/>
      <c r="X403" s="182"/>
      <c r="Y403" s="182"/>
      <c r="Z403" s="172"/>
      <c r="AB403" s="175" t="str">
        <f t="shared" ref="AB403" si="153">B403</f>
        <v>Manuel Riemann</v>
      </c>
    </row>
    <row r="404" spans="1:28" s="113" customFormat="1" ht="10.5" customHeight="1" x14ac:dyDescent="0.2">
      <c r="A404" s="177">
        <v>21</v>
      </c>
      <c r="B404" s="178" t="s">
        <v>303</v>
      </c>
      <c r="C404" s="178" t="s">
        <v>0</v>
      </c>
      <c r="D404" s="179" t="s">
        <v>59</v>
      </c>
      <c r="E404" s="179" t="s">
        <v>59</v>
      </c>
      <c r="F404" s="180" t="s">
        <v>59</v>
      </c>
      <c r="G404" s="180" t="s">
        <v>59</v>
      </c>
      <c r="H404" s="180"/>
      <c r="I404" s="179"/>
      <c r="J404" s="181"/>
      <c r="K404" s="182"/>
      <c r="L404" s="182"/>
      <c r="M404" s="182"/>
      <c r="N404" s="182"/>
      <c r="O404" s="182"/>
      <c r="P404" s="182"/>
      <c r="Q404" s="182"/>
      <c r="R404" s="182"/>
      <c r="S404" s="182"/>
      <c r="T404" s="182"/>
      <c r="U404" s="182"/>
      <c r="V404" s="182"/>
      <c r="W404" s="182"/>
      <c r="X404" s="182"/>
      <c r="Y404" s="182"/>
      <c r="Z404" s="172"/>
      <c r="AB404" s="175" t="str">
        <f t="shared" ref="AB404:AB405" si="154">B404</f>
        <v>Michael Esser</v>
      </c>
    </row>
    <row r="405" spans="1:28" s="113" customFormat="1" ht="10.5" customHeight="1" x14ac:dyDescent="0.2">
      <c r="A405" s="177">
        <v>23</v>
      </c>
      <c r="B405" s="178" t="s">
        <v>470</v>
      </c>
      <c r="C405" s="178" t="s">
        <v>0</v>
      </c>
      <c r="D405" s="179" t="s">
        <v>59</v>
      </c>
      <c r="E405" s="179" t="s">
        <v>59</v>
      </c>
      <c r="F405" s="180" t="s">
        <v>59</v>
      </c>
      <c r="G405" s="180" t="s">
        <v>59</v>
      </c>
      <c r="H405" s="180"/>
      <c r="I405" s="179"/>
      <c r="J405" s="181"/>
      <c r="K405" s="182"/>
      <c r="L405" s="182"/>
      <c r="M405" s="182"/>
      <c r="N405" s="182"/>
      <c r="O405" s="182"/>
      <c r="P405" s="182"/>
      <c r="Q405" s="182"/>
      <c r="R405" s="182"/>
      <c r="S405" s="182"/>
      <c r="T405" s="182"/>
      <c r="U405" s="182"/>
      <c r="V405" s="182"/>
      <c r="W405" s="182"/>
      <c r="X405" s="182"/>
      <c r="Y405" s="182"/>
      <c r="Z405" s="172"/>
      <c r="AB405" s="175" t="str">
        <f t="shared" si="154"/>
        <v>Nicklas Thiede</v>
      </c>
    </row>
    <row r="406" spans="1:28" s="113" customFormat="1" ht="10.5" customHeight="1" x14ac:dyDescent="0.2">
      <c r="A406" s="177">
        <v>26</v>
      </c>
      <c r="B406" s="178" t="s">
        <v>663</v>
      </c>
      <c r="C406" s="178" t="s">
        <v>0</v>
      </c>
      <c r="D406" s="179" t="s">
        <v>59</v>
      </c>
      <c r="E406" s="179" t="s">
        <v>59</v>
      </c>
      <c r="F406" s="180" t="s">
        <v>59</v>
      </c>
      <c r="G406" s="180" t="s">
        <v>59</v>
      </c>
      <c r="H406" s="180"/>
      <c r="I406" s="179"/>
      <c r="J406" s="181"/>
      <c r="K406" s="182"/>
      <c r="L406" s="182"/>
      <c r="M406" s="182"/>
      <c r="N406" s="182"/>
      <c r="O406" s="182"/>
      <c r="P406" s="182"/>
      <c r="Q406" s="182"/>
      <c r="R406" s="182"/>
      <c r="S406" s="182"/>
      <c r="T406" s="182"/>
      <c r="U406" s="182"/>
      <c r="V406" s="182"/>
      <c r="W406" s="182"/>
      <c r="X406" s="182"/>
      <c r="Y406" s="182"/>
      <c r="Z406" s="172"/>
      <c r="AB406" s="175" t="str">
        <f t="shared" ref="AB406" si="155">B406</f>
        <v>Andreas Luthe</v>
      </c>
    </row>
    <row r="407" spans="1:28" s="113" customFormat="1" ht="10.5" customHeight="1" x14ac:dyDescent="0.2">
      <c r="A407" s="198">
        <v>2</v>
      </c>
      <c r="B407" s="199" t="s">
        <v>300</v>
      </c>
      <c r="C407" s="185" t="s">
        <v>1</v>
      </c>
      <c r="D407" s="186" t="s">
        <v>59</v>
      </c>
      <c r="E407" s="186" t="s">
        <v>59</v>
      </c>
      <c r="F407" s="187" t="s">
        <v>59</v>
      </c>
      <c r="G407" s="187" t="s">
        <v>59</v>
      </c>
      <c r="H407" s="187"/>
      <c r="I407" s="186"/>
      <c r="J407" s="181"/>
      <c r="K407" s="182"/>
      <c r="L407" s="182"/>
      <c r="M407" s="182"/>
      <c r="N407" s="182"/>
      <c r="O407" s="182"/>
      <c r="P407" s="182"/>
      <c r="Q407" s="182"/>
      <c r="R407" s="182"/>
      <c r="S407" s="182"/>
      <c r="T407" s="182"/>
      <c r="U407" s="182"/>
      <c r="V407" s="182"/>
      <c r="W407" s="182"/>
      <c r="X407" s="182"/>
      <c r="Y407" s="182"/>
      <c r="Z407" s="172"/>
      <c r="AB407" s="175" t="str">
        <f t="shared" ref="AB407" si="156">B407</f>
        <v>Cristian Gamboa (A)</v>
      </c>
    </row>
    <row r="408" spans="1:28" s="113" customFormat="1" ht="10.5" customHeight="1" x14ac:dyDescent="0.2">
      <c r="A408" s="198">
        <v>3</v>
      </c>
      <c r="B408" s="199" t="s">
        <v>547</v>
      </c>
      <c r="C408" s="185" t="s">
        <v>1</v>
      </c>
      <c r="D408" s="186" t="s">
        <v>59</v>
      </c>
      <c r="E408" s="186" t="s">
        <v>59</v>
      </c>
      <c r="F408" s="187" t="s">
        <v>59</v>
      </c>
      <c r="G408" s="187" t="s">
        <v>59</v>
      </c>
      <c r="H408" s="187"/>
      <c r="I408" s="186"/>
      <c r="J408" s="181"/>
      <c r="K408" s="182"/>
      <c r="L408" s="182"/>
      <c r="M408" s="182"/>
      <c r="N408" s="182"/>
      <c r="O408" s="182"/>
      <c r="P408" s="182"/>
      <c r="Q408" s="182"/>
      <c r="R408" s="182"/>
      <c r="S408" s="182"/>
      <c r="T408" s="182"/>
      <c r="U408" s="182"/>
      <c r="V408" s="182"/>
      <c r="W408" s="182"/>
      <c r="X408" s="182"/>
      <c r="Y408" s="182"/>
      <c r="Z408" s="172"/>
      <c r="AB408" s="175" t="str">
        <f>B408</f>
        <v>Danilo Soares (A)</v>
      </c>
    </row>
    <row r="409" spans="1:28" s="113" customFormat="1" ht="10.5" customHeight="1" x14ac:dyDescent="0.2">
      <c r="A409" s="198">
        <v>4</v>
      </c>
      <c r="B409" s="199" t="s">
        <v>595</v>
      </c>
      <c r="C409" s="185" t="s">
        <v>1</v>
      </c>
      <c r="D409" s="186" t="s">
        <v>59</v>
      </c>
      <c r="E409" s="186" t="s">
        <v>59</v>
      </c>
      <c r="F409" s="187" t="s">
        <v>59</v>
      </c>
      <c r="G409" s="187" t="s">
        <v>59</v>
      </c>
      <c r="H409" s="187"/>
      <c r="I409" s="186"/>
      <c r="J409" s="181"/>
      <c r="K409" s="182"/>
      <c r="L409" s="182"/>
      <c r="M409" s="182"/>
      <c r="N409" s="182"/>
      <c r="O409" s="182"/>
      <c r="P409" s="182"/>
      <c r="Q409" s="182"/>
      <c r="R409" s="182"/>
      <c r="S409" s="182"/>
      <c r="T409" s="182"/>
      <c r="U409" s="182"/>
      <c r="V409" s="182"/>
      <c r="W409" s="182"/>
      <c r="X409" s="182"/>
      <c r="Y409" s="182"/>
      <c r="Z409" s="172"/>
      <c r="AB409" s="175" t="str">
        <f>B409</f>
        <v>Erhan Mašović (A)</v>
      </c>
    </row>
    <row r="410" spans="1:28" s="113" customFormat="1" ht="10.5" customHeight="1" x14ac:dyDescent="0.2">
      <c r="A410" s="198">
        <v>5</v>
      </c>
      <c r="B410" s="199" t="s">
        <v>472</v>
      </c>
      <c r="C410" s="185" t="s">
        <v>1</v>
      </c>
      <c r="D410" s="186" t="s">
        <v>59</v>
      </c>
      <c r="E410" s="186" t="s">
        <v>59</v>
      </c>
      <c r="F410" s="187" t="s">
        <v>59</v>
      </c>
      <c r="G410" s="187" t="s">
        <v>59</v>
      </c>
      <c r="H410" s="187"/>
      <c r="I410" s="186"/>
      <c r="J410" s="181"/>
      <c r="K410" s="182"/>
      <c r="L410" s="182"/>
      <c r="M410" s="182"/>
      <c r="N410" s="182"/>
      <c r="O410" s="182"/>
      <c r="P410" s="182"/>
      <c r="Q410" s="182"/>
      <c r="R410" s="182"/>
      <c r="S410" s="182"/>
      <c r="T410" s="182"/>
      <c r="U410" s="182"/>
      <c r="V410" s="182"/>
      <c r="W410" s="182"/>
      <c r="X410" s="182"/>
      <c r="Y410" s="182"/>
      <c r="Z410" s="172"/>
      <c r="AB410" s="175" t="str">
        <f t="shared" ref="AB410:AB411" si="157">B410</f>
        <v>Bernardo (A)</v>
      </c>
    </row>
    <row r="411" spans="1:28" s="113" customFormat="1" ht="10.5" customHeight="1" x14ac:dyDescent="0.2">
      <c r="A411" s="198">
        <v>14</v>
      </c>
      <c r="B411" s="199" t="s">
        <v>552</v>
      </c>
      <c r="C411" s="185" t="s">
        <v>1</v>
      </c>
      <c r="D411" s="186" t="s">
        <v>59</v>
      </c>
      <c r="E411" s="186" t="s">
        <v>59</v>
      </c>
      <c r="F411" s="187" t="s">
        <v>59</v>
      </c>
      <c r="G411" s="187" t="s">
        <v>59</v>
      </c>
      <c r="H411" s="187"/>
      <c r="I411" s="186"/>
      <c r="J411" s="181"/>
      <c r="K411" s="182"/>
      <c r="L411" s="182"/>
      <c r="M411" s="182"/>
      <c r="N411" s="182"/>
      <c r="O411" s="182"/>
      <c r="P411" s="182"/>
      <c r="Q411" s="182"/>
      <c r="R411" s="182"/>
      <c r="S411" s="182"/>
      <c r="T411" s="182"/>
      <c r="U411" s="182"/>
      <c r="V411" s="182"/>
      <c r="W411" s="182"/>
      <c r="X411" s="182"/>
      <c r="Y411" s="182"/>
      <c r="Z411" s="172"/>
      <c r="AB411" s="175" t="str">
        <f t="shared" si="157"/>
        <v>Tim Oermann</v>
      </c>
    </row>
    <row r="412" spans="1:28" s="113" customFormat="1" ht="10.5" customHeight="1" x14ac:dyDescent="0.2">
      <c r="A412" s="198">
        <v>15</v>
      </c>
      <c r="B412" s="199" t="s">
        <v>473</v>
      </c>
      <c r="C412" s="185" t="s">
        <v>1</v>
      </c>
      <c r="D412" s="186" t="s">
        <v>59</v>
      </c>
      <c r="E412" s="186" t="s">
        <v>59</v>
      </c>
      <c r="F412" s="187" t="s">
        <v>59</v>
      </c>
      <c r="G412" s="187" t="s">
        <v>59</v>
      </c>
      <c r="H412" s="187"/>
      <c r="I412" s="186"/>
      <c r="J412" s="181"/>
      <c r="K412" s="182"/>
      <c r="L412" s="182"/>
      <c r="M412" s="182"/>
      <c r="N412" s="182"/>
      <c r="O412" s="182"/>
      <c r="P412" s="182"/>
      <c r="Q412" s="182"/>
      <c r="R412" s="182"/>
      <c r="S412" s="182"/>
      <c r="T412" s="182"/>
      <c r="U412" s="182"/>
      <c r="V412" s="182"/>
      <c r="W412" s="182"/>
      <c r="X412" s="182"/>
      <c r="Y412" s="182"/>
      <c r="Z412" s="172"/>
      <c r="AB412" s="175" t="str">
        <f t="shared" ref="AB412" si="158">B412</f>
        <v>Felix Passlack</v>
      </c>
    </row>
    <row r="413" spans="1:28" s="113" customFormat="1" ht="10.5" customHeight="1" x14ac:dyDescent="0.2">
      <c r="A413" s="198">
        <v>20</v>
      </c>
      <c r="B413" s="199" t="s">
        <v>353</v>
      </c>
      <c r="C413" s="185" t="s">
        <v>1</v>
      </c>
      <c r="D413" s="186" t="s">
        <v>59</v>
      </c>
      <c r="E413" s="186" t="s">
        <v>59</v>
      </c>
      <c r="F413" s="187" t="s">
        <v>59</v>
      </c>
      <c r="G413" s="187" t="s">
        <v>59</v>
      </c>
      <c r="H413" s="187"/>
      <c r="I413" s="186"/>
      <c r="J413" s="181"/>
      <c r="K413" s="182"/>
      <c r="L413" s="182"/>
      <c r="M413" s="182"/>
      <c r="N413" s="182"/>
      <c r="O413" s="182"/>
      <c r="P413" s="182"/>
      <c r="Q413" s="182"/>
      <c r="R413" s="182"/>
      <c r="S413" s="182"/>
      <c r="T413" s="182"/>
      <c r="U413" s="182"/>
      <c r="V413" s="182"/>
      <c r="W413" s="182"/>
      <c r="X413" s="182"/>
      <c r="Y413" s="182"/>
      <c r="Z413" s="172"/>
      <c r="AB413" s="175" t="str">
        <f t="shared" ref="AB413:AB418" si="159">B413</f>
        <v>Ivan Ordets (A)</v>
      </c>
    </row>
    <row r="414" spans="1:28" s="113" customFormat="1" ht="10.5" customHeight="1" x14ac:dyDescent="0.2">
      <c r="A414" s="198">
        <v>25</v>
      </c>
      <c r="B414" s="199" t="s">
        <v>354</v>
      </c>
      <c r="C414" s="185" t="s">
        <v>1</v>
      </c>
      <c r="D414" s="186" t="s">
        <v>59</v>
      </c>
      <c r="E414" s="186" t="s">
        <v>59</v>
      </c>
      <c r="F414" s="187" t="s">
        <v>59</v>
      </c>
      <c r="G414" s="187" t="s">
        <v>59</v>
      </c>
      <c r="H414" s="187"/>
      <c r="I414" s="186"/>
      <c r="J414" s="181"/>
      <c r="K414" s="182"/>
      <c r="L414" s="182"/>
      <c r="M414" s="182"/>
      <c r="N414" s="182"/>
      <c r="O414" s="182"/>
      <c r="P414" s="182"/>
      <c r="Q414" s="182"/>
      <c r="R414" s="182"/>
      <c r="S414" s="182"/>
      <c r="T414" s="182"/>
      <c r="U414" s="182"/>
      <c r="V414" s="182"/>
      <c r="W414" s="182"/>
      <c r="X414" s="182"/>
      <c r="Y414" s="182"/>
      <c r="Z414" s="172"/>
      <c r="AB414" s="175" t="str">
        <f t="shared" si="159"/>
        <v>Mohammed Tolba</v>
      </c>
    </row>
    <row r="415" spans="1:28" s="113" customFormat="1" ht="10.5" customHeight="1" x14ac:dyDescent="0.2">
      <c r="A415" s="198">
        <v>30</v>
      </c>
      <c r="B415" s="199" t="s">
        <v>548</v>
      </c>
      <c r="C415" s="185" t="s">
        <v>1</v>
      </c>
      <c r="D415" s="186" t="s">
        <v>59</v>
      </c>
      <c r="E415" s="186" t="s">
        <v>59</v>
      </c>
      <c r="F415" s="187" t="s">
        <v>59</v>
      </c>
      <c r="G415" s="187" t="s">
        <v>59</v>
      </c>
      <c r="H415" s="187"/>
      <c r="I415" s="186"/>
      <c r="J415" s="181"/>
      <c r="K415" s="182"/>
      <c r="L415" s="182"/>
      <c r="M415" s="182"/>
      <c r="N415" s="182"/>
      <c r="O415" s="182"/>
      <c r="P415" s="182"/>
      <c r="Q415" s="182"/>
      <c r="R415" s="182"/>
      <c r="S415" s="182"/>
      <c r="T415" s="182"/>
      <c r="U415" s="182"/>
      <c r="V415" s="182"/>
      <c r="W415" s="182"/>
      <c r="X415" s="182"/>
      <c r="Y415" s="182"/>
      <c r="Z415" s="172"/>
      <c r="AB415" s="175" t="str">
        <f t="shared" si="159"/>
        <v>Moritz Römling</v>
      </c>
    </row>
    <row r="416" spans="1:28" s="113" customFormat="1" ht="10.5" customHeight="1" x14ac:dyDescent="0.2">
      <c r="A416" s="198">
        <v>31</v>
      </c>
      <c r="B416" s="199" t="s">
        <v>169</v>
      </c>
      <c r="C416" s="185" t="s">
        <v>1</v>
      </c>
      <c r="D416" s="186" t="s">
        <v>59</v>
      </c>
      <c r="E416" s="186" t="s">
        <v>59</v>
      </c>
      <c r="F416" s="187" t="s">
        <v>59</v>
      </c>
      <c r="G416" s="187" t="s">
        <v>59</v>
      </c>
      <c r="H416" s="187"/>
      <c r="I416" s="186"/>
      <c r="J416" s="181"/>
      <c r="K416" s="182"/>
      <c r="L416" s="182"/>
      <c r="M416" s="182"/>
      <c r="N416" s="182"/>
      <c r="O416" s="182"/>
      <c r="P416" s="182"/>
      <c r="Q416" s="182"/>
      <c r="R416" s="182"/>
      <c r="S416" s="182"/>
      <c r="T416" s="182"/>
      <c r="U416" s="182"/>
      <c r="V416" s="182"/>
      <c r="W416" s="182"/>
      <c r="X416" s="182"/>
      <c r="Y416" s="182"/>
      <c r="Z416" s="172"/>
      <c r="AB416" s="175" t="str">
        <f t="shared" si="159"/>
        <v>Keven Schlotterbeck</v>
      </c>
    </row>
    <row r="417" spans="1:28" s="113" customFormat="1" ht="10.5" customHeight="1" x14ac:dyDescent="0.2">
      <c r="A417" s="198">
        <v>32</v>
      </c>
      <c r="B417" s="199" t="s">
        <v>553</v>
      </c>
      <c r="C417" s="185" t="s">
        <v>1</v>
      </c>
      <c r="D417" s="186" t="s">
        <v>59</v>
      </c>
      <c r="E417" s="186" t="s">
        <v>59</v>
      </c>
      <c r="F417" s="187" t="s">
        <v>59</v>
      </c>
      <c r="G417" s="187" t="s">
        <v>59</v>
      </c>
      <c r="H417" s="187"/>
      <c r="I417" s="186"/>
      <c r="J417" s="181"/>
      <c r="K417" s="182"/>
      <c r="L417" s="182"/>
      <c r="M417" s="182"/>
      <c r="N417" s="182"/>
      <c r="O417" s="182"/>
      <c r="P417" s="182"/>
      <c r="Q417" s="182"/>
      <c r="R417" s="182"/>
      <c r="S417" s="182"/>
      <c r="T417" s="182"/>
      <c r="U417" s="182"/>
      <c r="V417" s="182"/>
      <c r="W417" s="182"/>
      <c r="X417" s="182"/>
      <c r="Y417" s="182"/>
      <c r="Z417" s="172"/>
      <c r="AB417" s="175" t="str">
        <f t="shared" ref="AB417" si="160">B417</f>
        <v>Maximilian Wittek</v>
      </c>
    </row>
    <row r="418" spans="1:28" s="113" customFormat="1" ht="10.5" customHeight="1" x14ac:dyDescent="0.2">
      <c r="A418" s="198">
        <v>41</v>
      </c>
      <c r="B418" s="199" t="s">
        <v>471</v>
      </c>
      <c r="C418" s="185" t="s">
        <v>1</v>
      </c>
      <c r="D418" s="186" t="s">
        <v>59</v>
      </c>
      <c r="E418" s="186" t="s">
        <v>59</v>
      </c>
      <c r="F418" s="187" t="s">
        <v>59</v>
      </c>
      <c r="G418" s="187" t="s">
        <v>59</v>
      </c>
      <c r="H418" s="187"/>
      <c r="I418" s="186"/>
      <c r="J418" s="181"/>
      <c r="K418" s="182"/>
      <c r="L418" s="182"/>
      <c r="M418" s="182"/>
      <c r="N418" s="182"/>
      <c r="O418" s="182"/>
      <c r="P418" s="182"/>
      <c r="Q418" s="182"/>
      <c r="R418" s="182"/>
      <c r="S418" s="182"/>
      <c r="T418" s="182"/>
      <c r="U418" s="182"/>
      <c r="V418" s="182"/>
      <c r="W418" s="182"/>
      <c r="X418" s="182"/>
      <c r="Y418" s="182"/>
      <c r="Z418" s="172"/>
      <c r="AB418" s="175" t="str">
        <f t="shared" si="159"/>
        <v>Noah Loosli (A)</v>
      </c>
    </row>
    <row r="419" spans="1:28" s="113" customFormat="1" ht="10.5" customHeight="1" x14ac:dyDescent="0.2">
      <c r="A419" s="200">
        <v>6</v>
      </c>
      <c r="B419" s="190" t="s">
        <v>297</v>
      </c>
      <c r="C419" s="190" t="s">
        <v>2</v>
      </c>
      <c r="D419" s="191" t="s">
        <v>59</v>
      </c>
      <c r="E419" s="191" t="s">
        <v>59</v>
      </c>
      <c r="F419" s="192" t="s">
        <v>59</v>
      </c>
      <c r="G419" s="192" t="s">
        <v>59</v>
      </c>
      <c r="H419" s="192"/>
      <c r="I419" s="191"/>
      <c r="J419" s="181"/>
      <c r="K419" s="182"/>
      <c r="L419" s="182"/>
      <c r="M419" s="182"/>
      <c r="N419" s="182"/>
      <c r="O419" s="182"/>
      <c r="P419" s="182"/>
      <c r="Q419" s="182"/>
      <c r="R419" s="182"/>
      <c r="S419" s="182"/>
      <c r="T419" s="182"/>
      <c r="U419" s="182"/>
      <c r="V419" s="182"/>
      <c r="W419" s="182"/>
      <c r="X419" s="182"/>
      <c r="Y419" s="182"/>
      <c r="Z419" s="172"/>
      <c r="AB419" s="175" t="str">
        <f t="shared" ref="AB419" si="161">B419</f>
        <v>Patrick Osterhage</v>
      </c>
    </row>
    <row r="420" spans="1:28" s="113" customFormat="1" ht="10.5" customHeight="1" x14ac:dyDescent="0.2">
      <c r="A420" s="200">
        <v>7</v>
      </c>
      <c r="B420" s="190" t="s">
        <v>252</v>
      </c>
      <c r="C420" s="190" t="s">
        <v>2</v>
      </c>
      <c r="D420" s="191" t="s">
        <v>59</v>
      </c>
      <c r="E420" s="191" t="s">
        <v>59</v>
      </c>
      <c r="F420" s="192" t="s">
        <v>59</v>
      </c>
      <c r="G420" s="192" t="s">
        <v>59</v>
      </c>
      <c r="H420" s="192"/>
      <c r="I420" s="191"/>
      <c r="J420" s="181"/>
      <c r="K420" s="182"/>
      <c r="L420" s="182"/>
      <c r="M420" s="182"/>
      <c r="N420" s="182"/>
      <c r="O420" s="182"/>
      <c r="P420" s="182"/>
      <c r="Q420" s="182"/>
      <c r="R420" s="182"/>
      <c r="S420" s="182"/>
      <c r="T420" s="182"/>
      <c r="U420" s="182"/>
      <c r="V420" s="182"/>
      <c r="W420" s="182"/>
      <c r="X420" s="182"/>
      <c r="Y420" s="182"/>
      <c r="Z420" s="172"/>
      <c r="AB420" s="175" t="str">
        <f t="shared" ref="AB420:AB422" si="162">B420</f>
        <v>Kevin Stöger (A)</v>
      </c>
    </row>
    <row r="421" spans="1:28" s="113" customFormat="1" ht="10.5" customHeight="1" x14ac:dyDescent="0.2">
      <c r="A421" s="200">
        <v>8</v>
      </c>
      <c r="B421" s="190" t="s">
        <v>298</v>
      </c>
      <c r="C421" s="190" t="s">
        <v>2</v>
      </c>
      <c r="D421" s="191" t="s">
        <v>59</v>
      </c>
      <c r="E421" s="191" t="s">
        <v>59</v>
      </c>
      <c r="F421" s="192" t="s">
        <v>59</v>
      </c>
      <c r="G421" s="192" t="s">
        <v>59</v>
      </c>
      <c r="H421" s="192"/>
      <c r="I421" s="191"/>
      <c r="J421" s="181"/>
      <c r="K421" s="182"/>
      <c r="L421" s="182"/>
      <c r="M421" s="182"/>
      <c r="N421" s="182"/>
      <c r="O421" s="182"/>
      <c r="P421" s="182"/>
      <c r="Q421" s="182"/>
      <c r="R421" s="182"/>
      <c r="S421" s="182"/>
      <c r="T421" s="182"/>
      <c r="U421" s="182"/>
      <c r="V421" s="182"/>
      <c r="W421" s="182"/>
      <c r="X421" s="182"/>
      <c r="Y421" s="182"/>
      <c r="Z421" s="172"/>
      <c r="AB421" s="175" t="str">
        <f t="shared" si="162"/>
        <v>Anthony Losilia (A)</v>
      </c>
    </row>
    <row r="422" spans="1:28" s="113" customFormat="1" ht="10.5" customHeight="1" x14ac:dyDescent="0.2">
      <c r="A422" s="200">
        <v>10</v>
      </c>
      <c r="B422" s="190" t="s">
        <v>244</v>
      </c>
      <c r="C422" s="190" t="s">
        <v>2</v>
      </c>
      <c r="D422" s="191" t="s">
        <v>59</v>
      </c>
      <c r="E422" s="191" t="s">
        <v>59</v>
      </c>
      <c r="F422" s="192" t="s">
        <v>59</v>
      </c>
      <c r="G422" s="192" t="s">
        <v>59</v>
      </c>
      <c r="H422" s="192"/>
      <c r="I422" s="191"/>
      <c r="J422" s="181"/>
      <c r="K422" s="182"/>
      <c r="L422" s="182"/>
      <c r="M422" s="182"/>
      <c r="N422" s="182"/>
      <c r="O422" s="182"/>
      <c r="P422" s="182"/>
      <c r="Q422" s="182"/>
      <c r="R422" s="182"/>
      <c r="S422" s="182"/>
      <c r="T422" s="182"/>
      <c r="U422" s="182"/>
      <c r="V422" s="182"/>
      <c r="W422" s="182"/>
      <c r="X422" s="182"/>
      <c r="Y422" s="182"/>
      <c r="Z422" s="172"/>
      <c r="AB422" s="175" t="str">
        <f t="shared" si="162"/>
        <v>Philipp Förster</v>
      </c>
    </row>
    <row r="423" spans="1:28" s="113" customFormat="1" ht="10.5" customHeight="1" x14ac:dyDescent="0.2">
      <c r="A423" s="200">
        <v>13</v>
      </c>
      <c r="B423" s="190" t="s">
        <v>474</v>
      </c>
      <c r="C423" s="190" t="s">
        <v>2</v>
      </c>
      <c r="D423" s="191" t="s">
        <v>59</v>
      </c>
      <c r="E423" s="191" t="s">
        <v>59</v>
      </c>
      <c r="F423" s="192" t="s">
        <v>59</v>
      </c>
      <c r="G423" s="192" t="s">
        <v>59</v>
      </c>
      <c r="H423" s="192"/>
      <c r="I423" s="191"/>
      <c r="J423" s="181"/>
      <c r="K423" s="182"/>
      <c r="L423" s="182"/>
      <c r="M423" s="182"/>
      <c r="N423" s="182"/>
      <c r="O423" s="182"/>
      <c r="P423" s="182"/>
      <c r="Q423" s="182"/>
      <c r="R423" s="182"/>
      <c r="S423" s="182"/>
      <c r="T423" s="182"/>
      <c r="U423" s="182"/>
      <c r="V423" s="182"/>
      <c r="W423" s="182"/>
      <c r="X423" s="182"/>
      <c r="Y423" s="182"/>
      <c r="Z423" s="172"/>
      <c r="AB423" s="175" t="str">
        <f t="shared" ref="AB423:AB425" si="163">B423</f>
        <v>Lukas Daschner</v>
      </c>
    </row>
    <row r="424" spans="1:28" s="113" customFormat="1" ht="10.5" customHeight="1" x14ac:dyDescent="0.2">
      <c r="A424" s="200">
        <v>17</v>
      </c>
      <c r="B424" s="190" t="s">
        <v>670</v>
      </c>
      <c r="C424" s="190" t="s">
        <v>2</v>
      </c>
      <c r="D424" s="191" t="s">
        <v>59</v>
      </c>
      <c r="E424" s="191" t="s">
        <v>59</v>
      </c>
      <c r="F424" s="192" t="s">
        <v>59</v>
      </c>
      <c r="G424" s="192" t="s">
        <v>59</v>
      </c>
      <c r="H424" s="192"/>
      <c r="I424" s="191"/>
      <c r="J424" s="181"/>
      <c r="K424" s="182"/>
      <c r="L424" s="182"/>
      <c r="M424" s="182"/>
      <c r="N424" s="182"/>
      <c r="O424" s="182"/>
      <c r="P424" s="182"/>
      <c r="Q424" s="182"/>
      <c r="R424" s="182"/>
      <c r="S424" s="182"/>
      <c r="T424" s="182"/>
      <c r="U424" s="182"/>
      <c r="V424" s="182"/>
      <c r="W424" s="182"/>
      <c r="X424" s="182"/>
      <c r="Y424" s="182"/>
      <c r="Z424" s="172"/>
      <c r="AB424" s="175" t="str">
        <f>B424</f>
        <v>Agon Elezi (A)</v>
      </c>
    </row>
    <row r="425" spans="1:28" s="113" customFormat="1" ht="10.5" customHeight="1" x14ac:dyDescent="0.2">
      <c r="A425" s="200">
        <v>19</v>
      </c>
      <c r="B425" s="190" t="s">
        <v>596</v>
      </c>
      <c r="C425" s="190" t="s">
        <v>2</v>
      </c>
      <c r="D425" s="191" t="s">
        <v>59</v>
      </c>
      <c r="E425" s="191" t="s">
        <v>59</v>
      </c>
      <c r="F425" s="192" t="s">
        <v>59</v>
      </c>
      <c r="G425" s="192" t="s">
        <v>59</v>
      </c>
      <c r="H425" s="192"/>
      <c r="I425" s="191"/>
      <c r="J425" s="181"/>
      <c r="K425" s="182"/>
      <c r="L425" s="182"/>
      <c r="M425" s="182"/>
      <c r="N425" s="182"/>
      <c r="O425" s="182"/>
      <c r="P425" s="182"/>
      <c r="Q425" s="182"/>
      <c r="R425" s="182"/>
      <c r="S425" s="182"/>
      <c r="T425" s="182"/>
      <c r="U425" s="182"/>
      <c r="V425" s="182"/>
      <c r="W425" s="182"/>
      <c r="X425" s="182"/>
      <c r="Y425" s="182"/>
      <c r="Z425" s="172"/>
      <c r="AB425" s="175" t="str">
        <f t="shared" si="163"/>
        <v>Matúš Bero (A)</v>
      </c>
    </row>
    <row r="426" spans="1:28" s="113" customFormat="1" ht="10.5" customHeight="1" x14ac:dyDescent="0.2">
      <c r="A426" s="200">
        <v>27</v>
      </c>
      <c r="B426" s="190" t="s">
        <v>475</v>
      </c>
      <c r="C426" s="190" t="s">
        <v>2</v>
      </c>
      <c r="D426" s="191" t="s">
        <v>59</v>
      </c>
      <c r="E426" s="191" t="s">
        <v>59</v>
      </c>
      <c r="F426" s="192" t="s">
        <v>59</v>
      </c>
      <c r="G426" s="192" t="s">
        <v>59</v>
      </c>
      <c r="H426" s="192"/>
      <c r="I426" s="191"/>
      <c r="J426" s="181"/>
      <c r="K426" s="182"/>
      <c r="L426" s="182"/>
      <c r="M426" s="182"/>
      <c r="N426" s="182"/>
      <c r="O426" s="182"/>
      <c r="P426" s="182"/>
      <c r="Q426" s="182"/>
      <c r="R426" s="182"/>
      <c r="S426" s="182"/>
      <c r="T426" s="182"/>
      <c r="U426" s="182"/>
      <c r="V426" s="182"/>
      <c r="W426" s="182"/>
      <c r="X426" s="182"/>
      <c r="Y426" s="182"/>
      <c r="Z426" s="172"/>
      <c r="AB426" s="175" t="str">
        <f t="shared" ref="AB426" si="164">B426</f>
        <v>Moritz Kwarteng</v>
      </c>
    </row>
    <row r="427" spans="1:28" s="113" customFormat="1" ht="10.5" customHeight="1" x14ac:dyDescent="0.2">
      <c r="A427" s="201">
        <v>9</v>
      </c>
      <c r="B427" s="195" t="s">
        <v>611</v>
      </c>
      <c r="C427" s="195" t="s">
        <v>3</v>
      </c>
      <c r="D427" s="196" t="s">
        <v>59</v>
      </c>
      <c r="E427" s="196" t="s">
        <v>59</v>
      </c>
      <c r="F427" s="197" t="s">
        <v>59</v>
      </c>
      <c r="G427" s="197" t="s">
        <v>59</v>
      </c>
      <c r="H427" s="197"/>
      <c r="I427" s="196"/>
      <c r="J427" s="181"/>
      <c r="K427" s="182"/>
      <c r="L427" s="182"/>
      <c r="M427" s="182"/>
      <c r="N427" s="182"/>
      <c r="O427" s="182"/>
      <c r="P427" s="182"/>
      <c r="Q427" s="182"/>
      <c r="R427" s="182"/>
      <c r="S427" s="182"/>
      <c r="T427" s="182"/>
      <c r="U427" s="182"/>
      <c r="V427" s="182"/>
      <c r="W427" s="182"/>
      <c r="X427" s="182"/>
      <c r="Y427" s="182"/>
      <c r="Z427" s="172"/>
      <c r="AB427" s="175" t="str">
        <f t="shared" ref="AB427" si="165">B427</f>
        <v>Gonçalo Paciênca (A)</v>
      </c>
    </row>
    <row r="428" spans="1:28" s="113" customFormat="1" ht="10.5" customHeight="1" x14ac:dyDescent="0.2">
      <c r="A428" s="201">
        <v>11</v>
      </c>
      <c r="B428" s="195" t="s">
        <v>296</v>
      </c>
      <c r="C428" s="195" t="s">
        <v>3</v>
      </c>
      <c r="D428" s="196" t="s">
        <v>59</v>
      </c>
      <c r="E428" s="196" t="s">
        <v>59</v>
      </c>
      <c r="F428" s="197" t="s">
        <v>59</v>
      </c>
      <c r="G428" s="197" t="s">
        <v>59</v>
      </c>
      <c r="H428" s="197"/>
      <c r="I428" s="196"/>
      <c r="J428" s="181"/>
      <c r="K428" s="182"/>
      <c r="L428" s="182"/>
      <c r="M428" s="182"/>
      <c r="N428" s="182"/>
      <c r="O428" s="182"/>
      <c r="P428" s="182"/>
      <c r="Q428" s="182"/>
      <c r="R428" s="182"/>
      <c r="S428" s="182"/>
      <c r="T428" s="182"/>
      <c r="U428" s="182"/>
      <c r="V428" s="182"/>
      <c r="W428" s="182"/>
      <c r="X428" s="182"/>
      <c r="Y428" s="182"/>
      <c r="Z428" s="172"/>
      <c r="AB428" s="175" t="str">
        <f t="shared" ref="AB428:AB431" si="166">B428</f>
        <v>Takuma Asano (A)</v>
      </c>
    </row>
    <row r="429" spans="1:28" s="113" customFormat="1" ht="10.5" customHeight="1" x14ac:dyDescent="0.2">
      <c r="A429" s="201">
        <v>22</v>
      </c>
      <c r="B429" s="195" t="s">
        <v>299</v>
      </c>
      <c r="C429" s="195" t="s">
        <v>3</v>
      </c>
      <c r="D429" s="196" t="s">
        <v>59</v>
      </c>
      <c r="E429" s="196" t="s">
        <v>59</v>
      </c>
      <c r="F429" s="197" t="s">
        <v>59</v>
      </c>
      <c r="G429" s="197" t="s">
        <v>59</v>
      </c>
      <c r="H429" s="197"/>
      <c r="I429" s="196"/>
      <c r="J429" s="181"/>
      <c r="K429" s="182"/>
      <c r="L429" s="182"/>
      <c r="M429" s="182"/>
      <c r="N429" s="182"/>
      <c r="O429" s="182"/>
      <c r="P429" s="182"/>
      <c r="Q429" s="182"/>
      <c r="R429" s="182"/>
      <c r="S429" s="182"/>
      <c r="T429" s="182"/>
      <c r="U429" s="182"/>
      <c r="V429" s="182"/>
      <c r="W429" s="182"/>
      <c r="X429" s="182"/>
      <c r="Y429" s="182"/>
      <c r="Z429" s="172"/>
      <c r="AB429" s="175" t="str">
        <f t="shared" si="166"/>
        <v>Christopher Antwi-Adjei</v>
      </c>
    </row>
    <row r="430" spans="1:28" s="113" customFormat="1" ht="10.5" customHeight="1" x14ac:dyDescent="0.2">
      <c r="A430" s="201">
        <v>29</v>
      </c>
      <c r="B430" s="195" t="s">
        <v>389</v>
      </c>
      <c r="C430" s="195" t="s">
        <v>3</v>
      </c>
      <c r="D430" s="196" t="s">
        <v>59</v>
      </c>
      <c r="E430" s="196" t="s">
        <v>59</v>
      </c>
      <c r="F430" s="197" t="s">
        <v>59</v>
      </c>
      <c r="G430" s="197" t="s">
        <v>59</v>
      </c>
      <c r="H430" s="197"/>
      <c r="I430" s="196"/>
      <c r="J430" s="181"/>
      <c r="K430" s="182"/>
      <c r="L430" s="182"/>
      <c r="M430" s="182"/>
      <c r="N430" s="182"/>
      <c r="O430" s="182"/>
      <c r="P430" s="182"/>
      <c r="Q430" s="182"/>
      <c r="R430" s="182"/>
      <c r="S430" s="182"/>
      <c r="T430" s="182"/>
      <c r="U430" s="182"/>
      <c r="V430" s="182"/>
      <c r="W430" s="182"/>
      <c r="X430" s="182"/>
      <c r="Y430" s="182"/>
      <c r="Z430" s="172"/>
      <c r="AB430" s="175" t="str">
        <f t="shared" ref="AB430" si="167">B430</f>
        <v>Moritz Broschinski</v>
      </c>
    </row>
    <row r="431" spans="1:28" s="113" customFormat="1" ht="10.5" customHeight="1" x14ac:dyDescent="0.2">
      <c r="A431" s="201">
        <v>33</v>
      </c>
      <c r="B431" s="195" t="s">
        <v>355</v>
      </c>
      <c r="C431" s="195" t="s">
        <v>3</v>
      </c>
      <c r="D431" s="196" t="s">
        <v>59</v>
      </c>
      <c r="E431" s="196" t="s">
        <v>59</v>
      </c>
      <c r="F431" s="197" t="s">
        <v>59</v>
      </c>
      <c r="G431" s="197" t="s">
        <v>59</v>
      </c>
      <c r="H431" s="197"/>
      <c r="I431" s="196"/>
      <c r="J431" s="181"/>
      <c r="K431" s="182"/>
      <c r="L431" s="182"/>
      <c r="M431" s="182"/>
      <c r="N431" s="182"/>
      <c r="O431" s="182"/>
      <c r="P431" s="182"/>
      <c r="Q431" s="182"/>
      <c r="R431" s="182"/>
      <c r="S431" s="182"/>
      <c r="T431" s="182"/>
      <c r="U431" s="182"/>
      <c r="V431" s="182"/>
      <c r="W431" s="182"/>
      <c r="X431" s="182"/>
      <c r="Y431" s="182"/>
      <c r="Z431" s="172"/>
      <c r="AB431" s="175" t="str">
        <f t="shared" si="166"/>
        <v>Philipp Hofmann</v>
      </c>
    </row>
    <row r="432" spans="1:28" ht="15" customHeight="1" thickBot="1" x14ac:dyDescent="0.25">
      <c r="A432" s="219" t="s">
        <v>97</v>
      </c>
      <c r="B432" s="219"/>
      <c r="C432" s="219"/>
      <c r="D432" s="219"/>
      <c r="E432" s="219"/>
      <c r="F432" s="219"/>
      <c r="G432" s="219"/>
      <c r="H432" s="219"/>
      <c r="I432" s="219"/>
      <c r="J432" s="10"/>
      <c r="K432" s="176">
        <v>12</v>
      </c>
      <c r="L432" s="176">
        <v>12</v>
      </c>
      <c r="M432" s="176">
        <v>12</v>
      </c>
      <c r="N432" s="176">
        <v>12</v>
      </c>
      <c r="O432" s="176">
        <v>12</v>
      </c>
      <c r="P432" s="176">
        <v>12</v>
      </c>
      <c r="Q432" s="176">
        <v>12</v>
      </c>
      <c r="R432" s="176">
        <v>12</v>
      </c>
      <c r="S432" s="176">
        <v>12</v>
      </c>
      <c r="T432" s="176">
        <v>12</v>
      </c>
      <c r="U432" s="176">
        <v>12</v>
      </c>
      <c r="V432" s="176">
        <v>12</v>
      </c>
      <c r="W432" s="176">
        <v>12</v>
      </c>
      <c r="X432" s="176">
        <v>12</v>
      </c>
      <c r="Y432" s="176">
        <v>12</v>
      </c>
      <c r="Z432" s="217"/>
      <c r="AB432" s="175" t="str">
        <f>A432</f>
        <v xml:space="preserve">FC Augsburg </v>
      </c>
    </row>
    <row r="433" spans="1:28" ht="10.5" customHeight="1" x14ac:dyDescent="0.2">
      <c r="A433" s="177">
        <v>1</v>
      </c>
      <c r="B433" s="178" t="s">
        <v>194</v>
      </c>
      <c r="C433" s="178" t="s">
        <v>0</v>
      </c>
      <c r="D433" s="179" t="s">
        <v>59</v>
      </c>
      <c r="E433" s="179" t="s">
        <v>59</v>
      </c>
      <c r="F433" s="180" t="s">
        <v>59</v>
      </c>
      <c r="G433" s="180" t="s">
        <v>59</v>
      </c>
      <c r="H433" s="180"/>
      <c r="I433" s="179"/>
      <c r="J433" s="181"/>
      <c r="K433" s="182"/>
      <c r="L433" s="182"/>
      <c r="M433" s="182"/>
      <c r="N433" s="182"/>
      <c r="O433" s="182"/>
      <c r="P433" s="182"/>
      <c r="Q433" s="182"/>
      <c r="R433" s="182"/>
      <c r="S433" s="182"/>
      <c r="T433" s="182"/>
      <c r="U433" s="182"/>
      <c r="V433" s="182"/>
      <c r="W433" s="182"/>
      <c r="X433" s="182"/>
      <c r="Y433" s="182"/>
      <c r="AB433" s="175" t="str">
        <f t="shared" ref="AB433" si="168">B433</f>
        <v>Finn Dahmen</v>
      </c>
    </row>
    <row r="434" spans="1:28" ht="10.5" customHeight="1" x14ac:dyDescent="0.2">
      <c r="A434" s="177">
        <v>33</v>
      </c>
      <c r="B434" s="178" t="s">
        <v>476</v>
      </c>
      <c r="C434" s="178" t="s">
        <v>0</v>
      </c>
      <c r="D434" s="179" t="s">
        <v>59</v>
      </c>
      <c r="E434" s="179" t="s">
        <v>59</v>
      </c>
      <c r="F434" s="180" t="s">
        <v>59</v>
      </c>
      <c r="G434" s="180" t="s">
        <v>59</v>
      </c>
      <c r="H434" s="180"/>
      <c r="I434" s="179"/>
      <c r="J434" s="181"/>
      <c r="K434" s="182"/>
      <c r="L434" s="182"/>
      <c r="M434" s="182"/>
      <c r="N434" s="182"/>
      <c r="O434" s="182"/>
      <c r="P434" s="182"/>
      <c r="Q434" s="182"/>
      <c r="R434" s="182"/>
      <c r="S434" s="182"/>
      <c r="T434" s="182"/>
      <c r="U434" s="182"/>
      <c r="V434" s="182"/>
      <c r="W434" s="182"/>
      <c r="X434" s="182"/>
      <c r="Y434" s="182"/>
      <c r="AB434" s="175" t="str">
        <f t="shared" ref="AB434:AB435" si="169">B434</f>
        <v>Marcel Lubik (A)</v>
      </c>
    </row>
    <row r="435" spans="1:28" ht="10.5" customHeight="1" x14ac:dyDescent="0.2">
      <c r="A435" s="177">
        <v>40</v>
      </c>
      <c r="B435" s="178" t="s">
        <v>593</v>
      </c>
      <c r="C435" s="178" t="s">
        <v>0</v>
      </c>
      <c r="D435" s="179" t="s">
        <v>59</v>
      </c>
      <c r="E435" s="179" t="s">
        <v>59</v>
      </c>
      <c r="F435" s="180" t="s">
        <v>59</v>
      </c>
      <c r="G435" s="180" t="s">
        <v>59</v>
      </c>
      <c r="H435" s="180"/>
      <c r="I435" s="179"/>
      <c r="J435" s="181"/>
      <c r="K435" s="182"/>
      <c r="L435" s="182"/>
      <c r="M435" s="182"/>
      <c r="N435" s="182"/>
      <c r="O435" s="182"/>
      <c r="P435" s="182"/>
      <c r="Q435" s="182"/>
      <c r="R435" s="182"/>
      <c r="S435" s="182"/>
      <c r="T435" s="182"/>
      <c r="U435" s="182"/>
      <c r="V435" s="182"/>
      <c r="W435" s="182"/>
      <c r="X435" s="182"/>
      <c r="Y435" s="182"/>
      <c r="AB435" s="175" t="str">
        <f t="shared" si="169"/>
        <v>Tomáš Koubek (A)</v>
      </c>
    </row>
    <row r="436" spans="1:28" ht="10.5" customHeight="1" x14ac:dyDescent="0.2">
      <c r="A436" s="198">
        <v>2</v>
      </c>
      <c r="B436" s="199" t="s">
        <v>235</v>
      </c>
      <c r="C436" s="185" t="s">
        <v>1</v>
      </c>
      <c r="D436" s="186" t="s">
        <v>59</v>
      </c>
      <c r="E436" s="186" t="s">
        <v>59</v>
      </c>
      <c r="F436" s="187" t="s">
        <v>59</v>
      </c>
      <c r="G436" s="187" t="s">
        <v>59</v>
      </c>
      <c r="H436" s="187"/>
      <c r="I436" s="186"/>
      <c r="J436" s="181"/>
      <c r="K436" s="182"/>
      <c r="L436" s="182"/>
      <c r="M436" s="182"/>
      <c r="N436" s="182"/>
      <c r="O436" s="182"/>
      <c r="P436" s="182"/>
      <c r="Q436" s="182"/>
      <c r="R436" s="182"/>
      <c r="S436" s="182"/>
      <c r="T436" s="182"/>
      <c r="U436" s="182"/>
      <c r="V436" s="182"/>
      <c r="W436" s="182"/>
      <c r="X436" s="182"/>
      <c r="Y436" s="182"/>
      <c r="AB436" s="175" t="str">
        <f t="shared" ref="AB436" si="170">B436</f>
        <v>Robert Gumny (A)</v>
      </c>
    </row>
    <row r="437" spans="1:28" ht="10.5" customHeight="1" x14ac:dyDescent="0.2">
      <c r="A437" s="198">
        <v>3</v>
      </c>
      <c r="B437" s="199" t="s">
        <v>311</v>
      </c>
      <c r="C437" s="185" t="s">
        <v>1</v>
      </c>
      <c r="D437" s="186" t="s">
        <v>59</v>
      </c>
      <c r="E437" s="186" t="s">
        <v>59</v>
      </c>
      <c r="F437" s="187" t="s">
        <v>59</v>
      </c>
      <c r="G437" s="187" t="s">
        <v>59</v>
      </c>
      <c r="H437" s="187"/>
      <c r="I437" s="186"/>
      <c r="J437" s="181"/>
      <c r="K437" s="182"/>
      <c r="L437" s="182"/>
      <c r="M437" s="182"/>
      <c r="N437" s="182"/>
      <c r="O437" s="182"/>
      <c r="P437" s="182"/>
      <c r="Q437" s="182"/>
      <c r="R437" s="182"/>
      <c r="S437" s="182"/>
      <c r="T437" s="182"/>
      <c r="U437" s="182"/>
      <c r="V437" s="182"/>
      <c r="W437" s="182"/>
      <c r="X437" s="182"/>
      <c r="Y437" s="182"/>
      <c r="AB437" s="175" t="str">
        <f t="shared" ref="AB437:AB439" si="171">B437</f>
        <v>Mads Pedersen (A)</v>
      </c>
    </row>
    <row r="438" spans="1:28" ht="10.5" customHeight="1" x14ac:dyDescent="0.2">
      <c r="A438" s="198">
        <v>4</v>
      </c>
      <c r="B438" s="199" t="s">
        <v>200</v>
      </c>
      <c r="C438" s="185" t="s">
        <v>1</v>
      </c>
      <c r="D438" s="186" t="s">
        <v>59</v>
      </c>
      <c r="E438" s="186" t="s">
        <v>59</v>
      </c>
      <c r="F438" s="187" t="s">
        <v>59</v>
      </c>
      <c r="G438" s="187" t="s">
        <v>59</v>
      </c>
      <c r="H438" s="187"/>
      <c r="I438" s="186"/>
      <c r="J438" s="181"/>
      <c r="K438" s="182"/>
      <c r="L438" s="182"/>
      <c r="M438" s="182"/>
      <c r="N438" s="182"/>
      <c r="O438" s="182"/>
      <c r="P438" s="182"/>
      <c r="Q438" s="182"/>
      <c r="R438" s="182"/>
      <c r="S438" s="182"/>
      <c r="T438" s="182"/>
      <c r="U438" s="182"/>
      <c r="V438" s="182"/>
      <c r="W438" s="182"/>
      <c r="X438" s="182"/>
      <c r="Y438" s="182"/>
      <c r="AB438" s="175" t="str">
        <f t="shared" si="171"/>
        <v>Reece Oxford (A)</v>
      </c>
    </row>
    <row r="439" spans="1:28" ht="10.5" customHeight="1" x14ac:dyDescent="0.2">
      <c r="A439" s="198">
        <v>5</v>
      </c>
      <c r="B439" s="199" t="s">
        <v>477</v>
      </c>
      <c r="C439" s="185" t="s">
        <v>1</v>
      </c>
      <c r="D439" s="186" t="s">
        <v>59</v>
      </c>
      <c r="E439" s="186" t="s">
        <v>59</v>
      </c>
      <c r="F439" s="187" t="s">
        <v>59</v>
      </c>
      <c r="G439" s="187" t="s">
        <v>59</v>
      </c>
      <c r="H439" s="187"/>
      <c r="I439" s="186"/>
      <c r="J439" s="181"/>
      <c r="K439" s="182"/>
      <c r="L439" s="182"/>
      <c r="M439" s="182"/>
      <c r="N439" s="182"/>
      <c r="O439" s="182"/>
      <c r="P439" s="182"/>
      <c r="Q439" s="182"/>
      <c r="R439" s="182"/>
      <c r="S439" s="182"/>
      <c r="T439" s="182"/>
      <c r="U439" s="182"/>
      <c r="V439" s="182"/>
      <c r="W439" s="182"/>
      <c r="X439" s="182"/>
      <c r="Y439" s="182"/>
      <c r="AB439" s="175" t="str">
        <f t="shared" si="171"/>
        <v>Patric Pfeiffer</v>
      </c>
    </row>
    <row r="440" spans="1:28" ht="10.5" customHeight="1" x14ac:dyDescent="0.2">
      <c r="A440" s="198">
        <v>6</v>
      </c>
      <c r="B440" s="199" t="s">
        <v>150</v>
      </c>
      <c r="C440" s="185" t="s">
        <v>1</v>
      </c>
      <c r="D440" s="186" t="s">
        <v>59</v>
      </c>
      <c r="E440" s="186" t="s">
        <v>59</v>
      </c>
      <c r="F440" s="187" t="s">
        <v>59</v>
      </c>
      <c r="G440" s="187" t="s">
        <v>59</v>
      </c>
      <c r="H440" s="187"/>
      <c r="I440" s="186"/>
      <c r="J440" s="181"/>
      <c r="K440" s="182"/>
      <c r="L440" s="182"/>
      <c r="M440" s="182"/>
      <c r="N440" s="182"/>
      <c r="O440" s="182"/>
      <c r="P440" s="182"/>
      <c r="Q440" s="182"/>
      <c r="R440" s="182"/>
      <c r="S440" s="182"/>
      <c r="T440" s="182"/>
      <c r="U440" s="182"/>
      <c r="V440" s="182"/>
      <c r="W440" s="182"/>
      <c r="X440" s="182"/>
      <c r="Y440" s="182"/>
      <c r="AB440" s="175" t="str">
        <f t="shared" ref="AB440" si="172">B440</f>
        <v>Jeffrey Gouweleeuw (A)</v>
      </c>
    </row>
    <row r="441" spans="1:28" ht="10.5" customHeight="1" x14ac:dyDescent="0.2">
      <c r="A441" s="198">
        <v>19</v>
      </c>
      <c r="B441" s="199" t="s">
        <v>188</v>
      </c>
      <c r="C441" s="185" t="s">
        <v>1</v>
      </c>
      <c r="D441" s="186" t="s">
        <v>59</v>
      </c>
      <c r="E441" s="186" t="s">
        <v>59</v>
      </c>
      <c r="F441" s="187" t="s">
        <v>59</v>
      </c>
      <c r="G441" s="187" t="s">
        <v>59</v>
      </c>
      <c r="H441" s="187"/>
      <c r="I441" s="186"/>
      <c r="J441" s="181"/>
      <c r="K441" s="182"/>
      <c r="L441" s="182"/>
      <c r="M441" s="182"/>
      <c r="N441" s="182"/>
      <c r="O441" s="182"/>
      <c r="P441" s="182"/>
      <c r="Q441" s="182"/>
      <c r="R441" s="182"/>
      <c r="S441" s="182"/>
      <c r="T441" s="182"/>
      <c r="U441" s="182"/>
      <c r="V441" s="182"/>
      <c r="W441" s="182"/>
      <c r="X441" s="182"/>
      <c r="Y441" s="182"/>
      <c r="AB441" s="175" t="str">
        <f t="shared" ref="AB441:AB444" si="173">B441</f>
        <v>Felix Uduokhai</v>
      </c>
    </row>
    <row r="442" spans="1:28" ht="10.5" customHeight="1" x14ac:dyDescent="0.2">
      <c r="A442" s="198">
        <v>22</v>
      </c>
      <c r="B442" s="199" t="s">
        <v>199</v>
      </c>
      <c r="C442" s="185" t="s">
        <v>1</v>
      </c>
      <c r="D442" s="186" t="s">
        <v>59</v>
      </c>
      <c r="E442" s="186" t="s">
        <v>59</v>
      </c>
      <c r="F442" s="187" t="s">
        <v>59</v>
      </c>
      <c r="G442" s="187" t="s">
        <v>59</v>
      </c>
      <c r="H442" s="187"/>
      <c r="I442" s="186"/>
      <c r="J442" s="181"/>
      <c r="K442" s="182"/>
      <c r="L442" s="182"/>
      <c r="M442" s="182"/>
      <c r="N442" s="182"/>
      <c r="O442" s="182"/>
      <c r="P442" s="182"/>
      <c r="Q442" s="182"/>
      <c r="R442" s="182"/>
      <c r="S442" s="182"/>
      <c r="T442" s="182"/>
      <c r="U442" s="182"/>
      <c r="V442" s="182"/>
      <c r="W442" s="182"/>
      <c r="X442" s="182"/>
      <c r="Y442" s="182"/>
      <c r="AB442" s="175" t="str">
        <f t="shared" si="173"/>
        <v>Iago (A)</v>
      </c>
    </row>
    <row r="443" spans="1:28" ht="10.5" customHeight="1" x14ac:dyDescent="0.2">
      <c r="A443" s="198">
        <v>23</v>
      </c>
      <c r="B443" s="199" t="s">
        <v>304</v>
      </c>
      <c r="C443" s="185" t="s">
        <v>1</v>
      </c>
      <c r="D443" s="186" t="s">
        <v>59</v>
      </c>
      <c r="E443" s="186" t="s">
        <v>59</v>
      </c>
      <c r="F443" s="187" t="s">
        <v>59</v>
      </c>
      <c r="G443" s="187" t="s">
        <v>59</v>
      </c>
      <c r="H443" s="187"/>
      <c r="I443" s="186"/>
      <c r="J443" s="181"/>
      <c r="K443" s="182"/>
      <c r="L443" s="182"/>
      <c r="M443" s="182"/>
      <c r="N443" s="182"/>
      <c r="O443" s="182"/>
      <c r="P443" s="182"/>
      <c r="Q443" s="182"/>
      <c r="R443" s="182"/>
      <c r="S443" s="182"/>
      <c r="T443" s="182"/>
      <c r="U443" s="182"/>
      <c r="V443" s="182"/>
      <c r="W443" s="182"/>
      <c r="X443" s="182"/>
      <c r="Y443" s="182"/>
      <c r="AB443" s="175" t="str">
        <f t="shared" si="173"/>
        <v>Maximilian Bauer</v>
      </c>
    </row>
    <row r="444" spans="1:28" ht="10.5" customHeight="1" x14ac:dyDescent="0.2">
      <c r="A444" s="198">
        <v>32</v>
      </c>
      <c r="B444" s="199" t="s">
        <v>478</v>
      </c>
      <c r="C444" s="185" t="s">
        <v>1</v>
      </c>
      <c r="D444" s="186" t="s">
        <v>59</v>
      </c>
      <c r="E444" s="186" t="s">
        <v>59</v>
      </c>
      <c r="F444" s="187" t="s">
        <v>59</v>
      </c>
      <c r="G444" s="187" t="s">
        <v>59</v>
      </c>
      <c r="H444" s="187"/>
      <c r="I444" s="186"/>
      <c r="J444" s="181"/>
      <c r="K444" s="182"/>
      <c r="L444" s="182"/>
      <c r="M444" s="182"/>
      <c r="N444" s="182"/>
      <c r="O444" s="182"/>
      <c r="P444" s="182"/>
      <c r="Q444" s="182"/>
      <c r="R444" s="182"/>
      <c r="S444" s="182"/>
      <c r="T444" s="182"/>
      <c r="U444" s="182"/>
      <c r="V444" s="182"/>
      <c r="W444" s="182"/>
      <c r="X444" s="182"/>
      <c r="Y444" s="182"/>
      <c r="AB444" s="175" t="str">
        <f t="shared" si="173"/>
        <v>Raphael Framberger</v>
      </c>
    </row>
    <row r="445" spans="1:28" ht="10.5" customHeight="1" x14ac:dyDescent="0.2">
      <c r="A445" s="198">
        <v>43</v>
      </c>
      <c r="B445" s="199" t="s">
        <v>612</v>
      </c>
      <c r="C445" s="185" t="s">
        <v>1</v>
      </c>
      <c r="D445" s="186" t="s">
        <v>59</v>
      </c>
      <c r="E445" s="186" t="s">
        <v>59</v>
      </c>
      <c r="F445" s="187" t="s">
        <v>59</v>
      </c>
      <c r="G445" s="187" t="s">
        <v>59</v>
      </c>
      <c r="H445" s="187"/>
      <c r="I445" s="186"/>
      <c r="J445" s="181"/>
      <c r="K445" s="182"/>
      <c r="L445" s="182"/>
      <c r="M445" s="182"/>
      <c r="N445" s="182"/>
      <c r="O445" s="182"/>
      <c r="P445" s="182"/>
      <c r="Q445" s="182"/>
      <c r="R445" s="182"/>
      <c r="S445" s="182"/>
      <c r="T445" s="182"/>
      <c r="U445" s="182"/>
      <c r="V445" s="182"/>
      <c r="W445" s="182"/>
      <c r="X445" s="182"/>
      <c r="Y445" s="182"/>
      <c r="AB445" s="175" t="str">
        <f t="shared" ref="AB445" si="174">B445</f>
        <v>Kevin Mbabu (A)</v>
      </c>
    </row>
    <row r="446" spans="1:28" ht="10.5" customHeight="1" x14ac:dyDescent="0.2">
      <c r="A446" s="200">
        <v>8</v>
      </c>
      <c r="B446" s="190" t="s">
        <v>162</v>
      </c>
      <c r="C446" s="190" t="s">
        <v>2</v>
      </c>
      <c r="D446" s="191" t="s">
        <v>59</v>
      </c>
      <c r="E446" s="191" t="s">
        <v>59</v>
      </c>
      <c r="F446" s="192" t="s">
        <v>59</v>
      </c>
      <c r="G446" s="192" t="s">
        <v>59</v>
      </c>
      <c r="H446" s="192"/>
      <c r="I446" s="191"/>
      <c r="J446" s="181"/>
      <c r="K446" s="182"/>
      <c r="L446" s="182"/>
      <c r="M446" s="182"/>
      <c r="N446" s="182"/>
      <c r="O446" s="182"/>
      <c r="P446" s="182"/>
      <c r="Q446" s="182"/>
      <c r="R446" s="182"/>
      <c r="S446" s="182"/>
      <c r="T446" s="182"/>
      <c r="U446" s="182"/>
      <c r="V446" s="182"/>
      <c r="W446" s="182"/>
      <c r="X446" s="182"/>
      <c r="Y446" s="182"/>
      <c r="AB446" s="175" t="str">
        <f>B446</f>
        <v>Elvis Rexhbecaj</v>
      </c>
    </row>
    <row r="447" spans="1:28" ht="10.5" customHeight="1" x14ac:dyDescent="0.2">
      <c r="A447" s="200">
        <v>10</v>
      </c>
      <c r="B447" s="190" t="s">
        <v>288</v>
      </c>
      <c r="C447" s="190" t="s">
        <v>2</v>
      </c>
      <c r="D447" s="191" t="s">
        <v>59</v>
      </c>
      <c r="E447" s="191" t="s">
        <v>59</v>
      </c>
      <c r="F447" s="192" t="s">
        <v>59</v>
      </c>
      <c r="G447" s="192" t="s">
        <v>59</v>
      </c>
      <c r="H447" s="192"/>
      <c r="I447" s="191"/>
      <c r="J447" s="181"/>
      <c r="K447" s="182"/>
      <c r="L447" s="182"/>
      <c r="M447" s="182"/>
      <c r="N447" s="182"/>
      <c r="O447" s="182"/>
      <c r="P447" s="182"/>
      <c r="Q447" s="182"/>
      <c r="R447" s="182"/>
      <c r="S447" s="182"/>
      <c r="T447" s="182"/>
      <c r="U447" s="182"/>
      <c r="V447" s="182"/>
      <c r="W447" s="182"/>
      <c r="X447" s="182"/>
      <c r="Y447" s="182"/>
      <c r="AB447" s="175" t="str">
        <f t="shared" ref="AB447:AB451" si="175">B447</f>
        <v>Arne Maier</v>
      </c>
    </row>
    <row r="448" spans="1:28" ht="10.5" customHeight="1" x14ac:dyDescent="0.2">
      <c r="A448" s="200">
        <v>11</v>
      </c>
      <c r="B448" s="190" t="s">
        <v>671</v>
      </c>
      <c r="C448" s="190" t="s">
        <v>2</v>
      </c>
      <c r="D448" s="191" t="s">
        <v>59</v>
      </c>
      <c r="E448" s="191" t="s">
        <v>59</v>
      </c>
      <c r="F448" s="192" t="s">
        <v>59</v>
      </c>
      <c r="G448" s="192" t="s">
        <v>59</v>
      </c>
      <c r="H448" s="192"/>
      <c r="I448" s="191"/>
      <c r="J448" s="181"/>
      <c r="K448" s="182"/>
      <c r="L448" s="182"/>
      <c r="M448" s="182"/>
      <c r="N448" s="182"/>
      <c r="O448" s="182"/>
      <c r="P448" s="182"/>
      <c r="Q448" s="182"/>
      <c r="R448" s="182"/>
      <c r="S448" s="182"/>
      <c r="T448" s="182"/>
      <c r="U448" s="182"/>
      <c r="V448" s="182"/>
      <c r="W448" s="182"/>
      <c r="X448" s="182"/>
      <c r="Y448" s="182"/>
      <c r="AB448" s="175" t="str">
        <f t="shared" si="175"/>
        <v>Pep Biel (A)</v>
      </c>
    </row>
    <row r="449" spans="1:28" ht="10.5" customHeight="1" x14ac:dyDescent="0.2">
      <c r="A449" s="200">
        <v>14</v>
      </c>
      <c r="B449" s="190" t="s">
        <v>479</v>
      </c>
      <c r="C449" s="190" t="s">
        <v>2</v>
      </c>
      <c r="D449" s="191" t="s">
        <v>59</v>
      </c>
      <c r="E449" s="191" t="s">
        <v>59</v>
      </c>
      <c r="F449" s="192" t="s">
        <v>59</v>
      </c>
      <c r="G449" s="192" t="s">
        <v>59</v>
      </c>
      <c r="H449" s="192"/>
      <c r="I449" s="191"/>
      <c r="J449" s="181"/>
      <c r="K449" s="182"/>
      <c r="L449" s="182"/>
      <c r="M449" s="182"/>
      <c r="N449" s="182"/>
      <c r="O449" s="182"/>
      <c r="P449" s="182"/>
      <c r="Q449" s="182"/>
      <c r="R449" s="182"/>
      <c r="S449" s="182"/>
      <c r="T449" s="182"/>
      <c r="U449" s="182"/>
      <c r="V449" s="182"/>
      <c r="W449" s="182"/>
      <c r="X449" s="182"/>
      <c r="Y449" s="182"/>
      <c r="AB449" s="175" t="str">
        <f t="shared" ref="AB449" si="176">B449</f>
        <v>Masaya Okugawa (A)</v>
      </c>
    </row>
    <row r="450" spans="1:28" ht="10.5" customHeight="1" x14ac:dyDescent="0.2">
      <c r="A450" s="200">
        <v>16</v>
      </c>
      <c r="B450" s="190" t="s">
        <v>201</v>
      </c>
      <c r="C450" s="190" t="s">
        <v>2</v>
      </c>
      <c r="D450" s="191" t="s">
        <v>59</v>
      </c>
      <c r="E450" s="191" t="s">
        <v>59</v>
      </c>
      <c r="F450" s="192" t="s">
        <v>59</v>
      </c>
      <c r="G450" s="192" t="s">
        <v>59</v>
      </c>
      <c r="H450" s="192"/>
      <c r="I450" s="191"/>
      <c r="J450" s="181"/>
      <c r="K450" s="182"/>
      <c r="L450" s="182"/>
      <c r="M450" s="182"/>
      <c r="N450" s="182"/>
      <c r="O450" s="182"/>
      <c r="P450" s="182"/>
      <c r="Q450" s="182"/>
      <c r="R450" s="182"/>
      <c r="S450" s="182"/>
      <c r="T450" s="182"/>
      <c r="U450" s="182"/>
      <c r="V450" s="182"/>
      <c r="W450" s="182"/>
      <c r="X450" s="182"/>
      <c r="Y450" s="182"/>
      <c r="AB450" s="175" t="str">
        <f t="shared" si="175"/>
        <v>Ruben Vargas (A)</v>
      </c>
    </row>
    <row r="451" spans="1:28" ht="10.5" customHeight="1" x14ac:dyDescent="0.2">
      <c r="A451" s="200">
        <v>17</v>
      </c>
      <c r="B451" s="190" t="s">
        <v>578</v>
      </c>
      <c r="C451" s="190" t="s">
        <v>2</v>
      </c>
      <c r="D451" s="191" t="s">
        <v>59</v>
      </c>
      <c r="E451" s="191" t="s">
        <v>59</v>
      </c>
      <c r="F451" s="192" t="s">
        <v>59</v>
      </c>
      <c r="G451" s="192" t="s">
        <v>59</v>
      </c>
      <c r="H451" s="192"/>
      <c r="I451" s="191"/>
      <c r="J451" s="181"/>
      <c r="K451" s="182"/>
      <c r="L451" s="182"/>
      <c r="M451" s="182"/>
      <c r="N451" s="182"/>
      <c r="O451" s="182"/>
      <c r="P451" s="182"/>
      <c r="Q451" s="182"/>
      <c r="R451" s="182"/>
      <c r="S451" s="182"/>
      <c r="T451" s="182"/>
      <c r="U451" s="182"/>
      <c r="V451" s="182"/>
      <c r="W451" s="182"/>
      <c r="X451" s="182"/>
      <c r="Y451" s="182"/>
      <c r="AB451" s="175" t="str">
        <f t="shared" si="175"/>
        <v>Kristijan Jakić (A)</v>
      </c>
    </row>
    <row r="452" spans="1:28" ht="10.5" customHeight="1" x14ac:dyDescent="0.2">
      <c r="A452" s="200">
        <v>18</v>
      </c>
      <c r="B452" s="190" t="s">
        <v>480</v>
      </c>
      <c r="C452" s="190" t="s">
        <v>2</v>
      </c>
      <c r="D452" s="191" t="s">
        <v>59</v>
      </c>
      <c r="E452" s="191" t="s">
        <v>59</v>
      </c>
      <c r="F452" s="192" t="s">
        <v>59</v>
      </c>
      <c r="G452" s="192" t="s">
        <v>59</v>
      </c>
      <c r="H452" s="192"/>
      <c r="I452" s="191"/>
      <c r="J452" s="181"/>
      <c r="K452" s="182"/>
      <c r="L452" s="182"/>
      <c r="M452" s="182"/>
      <c r="N452" s="182"/>
      <c r="O452" s="182"/>
      <c r="P452" s="182"/>
      <c r="Q452" s="182"/>
      <c r="R452" s="182"/>
      <c r="S452" s="182"/>
      <c r="T452" s="182"/>
      <c r="U452" s="182"/>
      <c r="V452" s="182"/>
      <c r="W452" s="182"/>
      <c r="X452" s="182"/>
      <c r="Y452" s="182"/>
      <c r="AB452" s="175" t="str">
        <f t="shared" ref="AB452:AB455" si="177">B452</f>
        <v>Tim Breithaupt</v>
      </c>
    </row>
    <row r="453" spans="1:28" ht="10.5" customHeight="1" x14ac:dyDescent="0.2">
      <c r="A453" s="200">
        <v>24</v>
      </c>
      <c r="B453" s="190" t="s">
        <v>166</v>
      </c>
      <c r="C453" s="190" t="s">
        <v>2</v>
      </c>
      <c r="D453" s="191" t="s">
        <v>59</v>
      </c>
      <c r="E453" s="191" t="s">
        <v>59</v>
      </c>
      <c r="F453" s="192" t="s">
        <v>59</v>
      </c>
      <c r="G453" s="192" t="s">
        <v>59</v>
      </c>
      <c r="H453" s="192"/>
      <c r="I453" s="191"/>
      <c r="J453" s="181"/>
      <c r="K453" s="182"/>
      <c r="L453" s="182"/>
      <c r="M453" s="182"/>
      <c r="N453" s="182"/>
      <c r="O453" s="182"/>
      <c r="P453" s="182"/>
      <c r="Q453" s="182"/>
      <c r="R453" s="182"/>
      <c r="S453" s="182"/>
      <c r="T453" s="182"/>
      <c r="U453" s="182"/>
      <c r="V453" s="182"/>
      <c r="W453" s="182"/>
      <c r="X453" s="182"/>
      <c r="Y453" s="182"/>
      <c r="AB453" s="175" t="str">
        <f t="shared" si="177"/>
        <v>Fredrik Jensen (A)</v>
      </c>
    </row>
    <row r="454" spans="1:28" ht="10.5" customHeight="1" x14ac:dyDescent="0.2">
      <c r="A454" s="200">
        <v>27</v>
      </c>
      <c r="B454" s="190" t="s">
        <v>386</v>
      </c>
      <c r="C454" s="190" t="s">
        <v>2</v>
      </c>
      <c r="D454" s="191" t="s">
        <v>59</v>
      </c>
      <c r="E454" s="191" t="s">
        <v>59</v>
      </c>
      <c r="F454" s="192" t="s">
        <v>59</v>
      </c>
      <c r="G454" s="192" t="s">
        <v>59</v>
      </c>
      <c r="H454" s="192"/>
      <c r="I454" s="191"/>
      <c r="J454" s="181"/>
      <c r="K454" s="182"/>
      <c r="L454" s="182"/>
      <c r="M454" s="182"/>
      <c r="N454" s="182"/>
      <c r="O454" s="182"/>
      <c r="P454" s="182"/>
      <c r="Q454" s="182"/>
      <c r="R454" s="182"/>
      <c r="S454" s="182"/>
      <c r="T454" s="182"/>
      <c r="U454" s="182"/>
      <c r="V454" s="182"/>
      <c r="W454" s="182"/>
      <c r="X454" s="182"/>
      <c r="Y454" s="182"/>
      <c r="AB454" s="175" t="str">
        <f t="shared" ref="AB454" si="178">B454</f>
        <v>Arne Engels (A)</v>
      </c>
    </row>
    <row r="455" spans="1:28" ht="10.5" customHeight="1" x14ac:dyDescent="0.2">
      <c r="A455" s="200">
        <v>30</v>
      </c>
      <c r="B455" s="190" t="s">
        <v>289</v>
      </c>
      <c r="C455" s="190" t="s">
        <v>2</v>
      </c>
      <c r="D455" s="191" t="s">
        <v>59</v>
      </c>
      <c r="E455" s="191" t="s">
        <v>59</v>
      </c>
      <c r="F455" s="192" t="s">
        <v>59</v>
      </c>
      <c r="G455" s="192" t="s">
        <v>59</v>
      </c>
      <c r="H455" s="192"/>
      <c r="I455" s="191"/>
      <c r="J455" s="181"/>
      <c r="K455" s="182"/>
      <c r="L455" s="182"/>
      <c r="M455" s="182"/>
      <c r="N455" s="182"/>
      <c r="O455" s="182"/>
      <c r="P455" s="182"/>
      <c r="Q455" s="182"/>
      <c r="R455" s="182"/>
      <c r="S455" s="182"/>
      <c r="T455" s="182"/>
      <c r="U455" s="182"/>
      <c r="V455" s="182"/>
      <c r="W455" s="182"/>
      <c r="X455" s="182"/>
      <c r="Y455" s="182"/>
      <c r="AB455" s="175" t="str">
        <f t="shared" si="177"/>
        <v>Niklas Dorsch</v>
      </c>
    </row>
    <row r="456" spans="1:28" ht="10.5" customHeight="1" x14ac:dyDescent="0.2">
      <c r="A456" s="200">
        <v>36</v>
      </c>
      <c r="B456" s="190" t="s">
        <v>481</v>
      </c>
      <c r="C456" s="190" t="s">
        <v>2</v>
      </c>
      <c r="D456" s="191" t="s">
        <v>59</v>
      </c>
      <c r="E456" s="191" t="s">
        <v>59</v>
      </c>
      <c r="F456" s="192" t="s">
        <v>59</v>
      </c>
      <c r="G456" s="192" t="s">
        <v>59</v>
      </c>
      <c r="H456" s="192"/>
      <c r="I456" s="191"/>
      <c r="J456" s="181"/>
      <c r="K456" s="182"/>
      <c r="L456" s="182"/>
      <c r="M456" s="182"/>
      <c r="N456" s="182"/>
      <c r="O456" s="182"/>
      <c r="P456" s="182"/>
      <c r="Q456" s="182"/>
      <c r="R456" s="182"/>
      <c r="S456" s="182"/>
      <c r="T456" s="182"/>
      <c r="U456" s="182"/>
      <c r="V456" s="182"/>
      <c r="W456" s="182"/>
      <c r="X456" s="182"/>
      <c r="Y456" s="182"/>
      <c r="AB456" s="175" t="str">
        <f t="shared" ref="AB456" si="179">B456</f>
        <v>Mert Kömür</v>
      </c>
    </row>
    <row r="457" spans="1:28" ht="10.5" customHeight="1" x14ac:dyDescent="0.2">
      <c r="A457" s="201">
        <v>7</v>
      </c>
      <c r="B457" s="195" t="s">
        <v>482</v>
      </c>
      <c r="C457" s="195" t="s">
        <v>3</v>
      </c>
      <c r="D457" s="196" t="s">
        <v>59</v>
      </c>
      <c r="E457" s="196" t="s">
        <v>59</v>
      </c>
      <c r="F457" s="197" t="s">
        <v>59</v>
      </c>
      <c r="G457" s="197" t="s">
        <v>59</v>
      </c>
      <c r="H457" s="197"/>
      <c r="I457" s="196"/>
      <c r="J457" s="181"/>
      <c r="K457" s="182"/>
      <c r="L457" s="182"/>
      <c r="M457" s="182"/>
      <c r="N457" s="182"/>
      <c r="O457" s="182"/>
      <c r="P457" s="182"/>
      <c r="Q457" s="182"/>
      <c r="R457" s="182"/>
      <c r="S457" s="182"/>
      <c r="T457" s="182"/>
      <c r="U457" s="182"/>
      <c r="V457" s="182"/>
      <c r="W457" s="182"/>
      <c r="X457" s="182"/>
      <c r="Y457" s="182"/>
      <c r="AB457" s="175" t="str">
        <f>B457</f>
        <v>Dion Beljo (A)</v>
      </c>
    </row>
    <row r="458" spans="1:28" ht="10.5" customHeight="1" x14ac:dyDescent="0.2">
      <c r="A458" s="201">
        <v>9</v>
      </c>
      <c r="B458" s="195" t="s">
        <v>594</v>
      </c>
      <c r="C458" s="195" t="s">
        <v>3</v>
      </c>
      <c r="D458" s="196" t="s">
        <v>59</v>
      </c>
      <c r="E458" s="196" t="s">
        <v>59</v>
      </c>
      <c r="F458" s="197" t="s">
        <v>59</v>
      </c>
      <c r="G458" s="197" t="s">
        <v>59</v>
      </c>
      <c r="H458" s="197"/>
      <c r="I458" s="196"/>
      <c r="J458" s="181"/>
      <c r="K458" s="182"/>
      <c r="L458" s="182"/>
      <c r="M458" s="182"/>
      <c r="N458" s="182"/>
      <c r="O458" s="182"/>
      <c r="P458" s="182"/>
      <c r="Q458" s="182"/>
      <c r="R458" s="182"/>
      <c r="S458" s="182"/>
      <c r="T458" s="182"/>
      <c r="U458" s="182"/>
      <c r="V458" s="182"/>
      <c r="W458" s="182"/>
      <c r="X458" s="182"/>
      <c r="Y458" s="182"/>
      <c r="AB458" s="175" t="str">
        <f t="shared" ref="AB458" si="180">B458</f>
        <v>Ermedin Demirović (A)</v>
      </c>
    </row>
    <row r="459" spans="1:28" ht="10.5" customHeight="1" x14ac:dyDescent="0.2">
      <c r="A459" s="201">
        <v>20</v>
      </c>
      <c r="B459" s="195" t="s">
        <v>483</v>
      </c>
      <c r="C459" s="195" t="s">
        <v>3</v>
      </c>
      <c r="D459" s="196" t="s">
        <v>59</v>
      </c>
      <c r="E459" s="196" t="s">
        <v>59</v>
      </c>
      <c r="F459" s="197" t="s">
        <v>59</v>
      </c>
      <c r="G459" s="197" t="s">
        <v>59</v>
      </c>
      <c r="H459" s="197"/>
      <c r="I459" s="196"/>
      <c r="J459" s="181"/>
      <c r="K459" s="182"/>
      <c r="L459" s="182"/>
      <c r="M459" s="182"/>
      <c r="N459" s="182"/>
      <c r="O459" s="182"/>
      <c r="P459" s="182"/>
      <c r="Q459" s="182"/>
      <c r="R459" s="182"/>
      <c r="S459" s="182"/>
      <c r="T459" s="182"/>
      <c r="U459" s="182"/>
      <c r="V459" s="182"/>
      <c r="W459" s="182"/>
      <c r="X459" s="182"/>
      <c r="Y459" s="182"/>
      <c r="AB459" s="175" t="str">
        <f t="shared" ref="AB459:AB460" si="181">B459</f>
        <v>Sven Michel</v>
      </c>
    </row>
    <row r="460" spans="1:28" ht="10.5" customHeight="1" x14ac:dyDescent="0.2">
      <c r="A460" s="201">
        <v>21</v>
      </c>
      <c r="B460" s="195" t="s">
        <v>484</v>
      </c>
      <c r="C460" s="195" t="s">
        <v>3</v>
      </c>
      <c r="D460" s="196" t="s">
        <v>59</v>
      </c>
      <c r="E460" s="196" t="s">
        <v>59</v>
      </c>
      <c r="F460" s="197" t="s">
        <v>59</v>
      </c>
      <c r="G460" s="197" t="s">
        <v>59</v>
      </c>
      <c r="H460" s="197"/>
      <c r="I460" s="196"/>
      <c r="J460" s="181"/>
      <c r="K460" s="182"/>
      <c r="L460" s="182"/>
      <c r="M460" s="182"/>
      <c r="N460" s="182"/>
      <c r="O460" s="182"/>
      <c r="P460" s="182"/>
      <c r="Q460" s="182"/>
      <c r="R460" s="182"/>
      <c r="S460" s="182"/>
      <c r="T460" s="182"/>
      <c r="U460" s="182"/>
      <c r="V460" s="182"/>
      <c r="W460" s="182"/>
      <c r="X460" s="182"/>
      <c r="Y460" s="182"/>
      <c r="AB460" s="175" t="str">
        <f t="shared" si="181"/>
        <v>Phillip Tietz</v>
      </c>
    </row>
    <row r="461" spans="1:28" ht="15" customHeight="1" thickBot="1" x14ac:dyDescent="0.25">
      <c r="A461" s="220" t="s">
        <v>225</v>
      </c>
      <c r="B461" s="220"/>
      <c r="C461" s="220"/>
      <c r="D461" s="220"/>
      <c r="E461" s="220"/>
      <c r="F461" s="220"/>
      <c r="G461" s="220"/>
      <c r="H461" s="220"/>
      <c r="I461" s="220"/>
      <c r="J461" s="10"/>
      <c r="K461" s="176">
        <v>12</v>
      </c>
      <c r="L461" s="176">
        <v>12</v>
      </c>
      <c r="M461" s="176">
        <v>12</v>
      </c>
      <c r="N461" s="176">
        <v>12</v>
      </c>
      <c r="O461" s="176">
        <v>12</v>
      </c>
      <c r="P461" s="176">
        <v>12</v>
      </c>
      <c r="Q461" s="176">
        <v>12</v>
      </c>
      <c r="R461" s="176">
        <v>12</v>
      </c>
      <c r="S461" s="176">
        <v>12</v>
      </c>
      <c r="T461" s="176">
        <v>12</v>
      </c>
      <c r="U461" s="176">
        <v>12</v>
      </c>
      <c r="V461" s="176">
        <v>12</v>
      </c>
      <c r="W461" s="176">
        <v>12</v>
      </c>
      <c r="X461" s="176">
        <v>12</v>
      </c>
      <c r="Y461" s="176">
        <v>12</v>
      </c>
      <c r="Z461" s="217"/>
      <c r="AB461" s="175" t="str">
        <f>A461</f>
        <v>VfB Stuttgart</v>
      </c>
    </row>
    <row r="462" spans="1:28" s="113" customFormat="1" ht="10.5" customHeight="1" x14ac:dyDescent="0.2">
      <c r="A462" s="177">
        <v>1</v>
      </c>
      <c r="B462" s="178" t="s">
        <v>240</v>
      </c>
      <c r="C462" s="178" t="s">
        <v>0</v>
      </c>
      <c r="D462" s="179" t="s">
        <v>59</v>
      </c>
      <c r="E462" s="179" t="s">
        <v>59</v>
      </c>
      <c r="F462" s="180" t="s">
        <v>59</v>
      </c>
      <c r="G462" s="180" t="s">
        <v>59</v>
      </c>
      <c r="H462" s="180"/>
      <c r="I462" s="179"/>
      <c r="J462" s="181"/>
      <c r="K462" s="182"/>
      <c r="L462" s="182"/>
      <c r="M462" s="182"/>
      <c r="N462" s="182"/>
      <c r="O462" s="182"/>
      <c r="P462" s="182"/>
      <c r="Q462" s="182"/>
      <c r="R462" s="182"/>
      <c r="S462" s="182"/>
      <c r="T462" s="182"/>
      <c r="U462" s="182"/>
      <c r="V462" s="182"/>
      <c r="W462" s="182"/>
      <c r="X462" s="182"/>
      <c r="Y462" s="182"/>
      <c r="Z462" s="172"/>
      <c r="AB462" s="175" t="str">
        <f t="shared" ref="AB462:AB464" si="182">B462</f>
        <v>Fabian Bredlow</v>
      </c>
    </row>
    <row r="463" spans="1:28" s="113" customFormat="1" ht="10.5" customHeight="1" x14ac:dyDescent="0.2">
      <c r="A463" s="177">
        <v>33</v>
      </c>
      <c r="B463" s="178" t="s">
        <v>485</v>
      </c>
      <c r="C463" s="178" t="s">
        <v>0</v>
      </c>
      <c r="D463" s="179" t="s">
        <v>59</v>
      </c>
      <c r="E463" s="179" t="s">
        <v>59</v>
      </c>
      <c r="F463" s="180" t="s">
        <v>59</v>
      </c>
      <c r="G463" s="180" t="s">
        <v>59</v>
      </c>
      <c r="H463" s="180"/>
      <c r="I463" s="179"/>
      <c r="J463" s="181"/>
      <c r="K463" s="182"/>
      <c r="L463" s="182"/>
      <c r="M463" s="182"/>
      <c r="N463" s="182"/>
      <c r="O463" s="182"/>
      <c r="P463" s="182"/>
      <c r="Q463" s="182">
        <v>1</v>
      </c>
      <c r="R463" s="182"/>
      <c r="S463" s="182"/>
      <c r="T463" s="182"/>
      <c r="U463" s="182"/>
      <c r="V463" s="182"/>
      <c r="W463" s="182"/>
      <c r="X463" s="182"/>
      <c r="Y463" s="182"/>
      <c r="Z463" s="172"/>
      <c r="AB463" s="175" t="str">
        <f t="shared" si="182"/>
        <v>Alexander Nübel</v>
      </c>
    </row>
    <row r="464" spans="1:28" s="113" customFormat="1" ht="10.5" customHeight="1" x14ac:dyDescent="0.2">
      <c r="A464" s="177">
        <v>41</v>
      </c>
      <c r="B464" s="178" t="s">
        <v>486</v>
      </c>
      <c r="C464" s="178" t="s">
        <v>0</v>
      </c>
      <c r="D464" s="179" t="s">
        <v>59</v>
      </c>
      <c r="E464" s="179" t="s">
        <v>59</v>
      </c>
      <c r="F464" s="180" t="s">
        <v>59</v>
      </c>
      <c r="G464" s="180" t="s">
        <v>59</v>
      </c>
      <c r="H464" s="180"/>
      <c r="I464" s="179"/>
      <c r="J464" s="181"/>
      <c r="K464" s="182"/>
      <c r="L464" s="182"/>
      <c r="M464" s="182"/>
      <c r="N464" s="182"/>
      <c r="O464" s="182"/>
      <c r="P464" s="182"/>
      <c r="Q464" s="182"/>
      <c r="R464" s="182"/>
      <c r="S464" s="182"/>
      <c r="T464" s="182"/>
      <c r="U464" s="182"/>
      <c r="V464" s="182"/>
      <c r="W464" s="182"/>
      <c r="X464" s="182"/>
      <c r="Y464" s="182"/>
      <c r="Z464" s="172"/>
      <c r="AB464" s="175" t="str">
        <f t="shared" si="182"/>
        <v>Dennis Seimen</v>
      </c>
    </row>
    <row r="465" spans="1:28" s="113" customFormat="1" ht="10.5" customHeight="1" x14ac:dyDescent="0.2">
      <c r="A465" s="177">
        <v>42</v>
      </c>
      <c r="B465" s="178" t="s">
        <v>310</v>
      </c>
      <c r="C465" s="178" t="s">
        <v>0</v>
      </c>
      <c r="D465" s="179" t="s">
        <v>59</v>
      </c>
      <c r="E465" s="179" t="s">
        <v>59</v>
      </c>
      <c r="F465" s="180" t="s">
        <v>59</v>
      </c>
      <c r="G465" s="180" t="s">
        <v>59</v>
      </c>
      <c r="H465" s="180"/>
      <c r="I465" s="179"/>
      <c r="J465" s="181"/>
      <c r="K465" s="182"/>
      <c r="L465" s="182"/>
      <c r="M465" s="182"/>
      <c r="N465" s="182"/>
      <c r="O465" s="182"/>
      <c r="P465" s="182"/>
      <c r="Q465" s="182"/>
      <c r="R465" s="182"/>
      <c r="S465" s="182"/>
      <c r="T465" s="182"/>
      <c r="U465" s="182"/>
      <c r="V465" s="182"/>
      <c r="W465" s="182"/>
      <c r="X465" s="182"/>
      <c r="Y465" s="182"/>
      <c r="Z465" s="172"/>
      <c r="AB465" s="175" t="str">
        <f t="shared" ref="AB465" si="183">B465</f>
        <v>Florian Schock</v>
      </c>
    </row>
    <row r="466" spans="1:28" s="113" customFormat="1" ht="10.5" customHeight="1" x14ac:dyDescent="0.2">
      <c r="A466" s="198">
        <v>2</v>
      </c>
      <c r="B466" s="199" t="s">
        <v>241</v>
      </c>
      <c r="C466" s="185" t="s">
        <v>1</v>
      </c>
      <c r="D466" s="186" t="s">
        <v>59</v>
      </c>
      <c r="E466" s="186" t="s">
        <v>59</v>
      </c>
      <c r="F466" s="187" t="s">
        <v>59</v>
      </c>
      <c r="G466" s="187" t="s">
        <v>59</v>
      </c>
      <c r="H466" s="187"/>
      <c r="I466" s="186"/>
      <c r="J466" s="181"/>
      <c r="K466" s="182"/>
      <c r="L466" s="182"/>
      <c r="M466" s="182"/>
      <c r="N466" s="182">
        <v>2</v>
      </c>
      <c r="O466" s="182"/>
      <c r="P466" s="182"/>
      <c r="Q466" s="182"/>
      <c r="R466" s="182"/>
      <c r="S466" s="182"/>
      <c r="T466" s="182"/>
      <c r="U466" s="182"/>
      <c r="V466" s="182"/>
      <c r="W466" s="182"/>
      <c r="X466" s="182"/>
      <c r="Y466" s="182"/>
      <c r="Z466" s="172"/>
      <c r="AB466" s="175" t="str">
        <f t="shared" ref="AB466" si="184">B466</f>
        <v>Waldemar Anton</v>
      </c>
    </row>
    <row r="467" spans="1:28" s="113" customFormat="1" ht="10.5" customHeight="1" x14ac:dyDescent="0.2">
      <c r="A467" s="198">
        <v>4</v>
      </c>
      <c r="B467" s="199" t="s">
        <v>356</v>
      </c>
      <c r="C467" s="185" t="s">
        <v>1</v>
      </c>
      <c r="D467" s="186" t="s">
        <v>59</v>
      </c>
      <c r="E467" s="186" t="s">
        <v>59</v>
      </c>
      <c r="F467" s="187" t="s">
        <v>59</v>
      </c>
      <c r="G467" s="187" t="s">
        <v>59</v>
      </c>
      <c r="H467" s="187"/>
      <c r="I467" s="186"/>
      <c r="J467" s="181"/>
      <c r="K467" s="182"/>
      <c r="L467" s="182"/>
      <c r="M467" s="182"/>
      <c r="N467" s="182"/>
      <c r="O467" s="182"/>
      <c r="P467" s="182"/>
      <c r="Q467" s="182"/>
      <c r="R467" s="182"/>
      <c r="S467" s="182"/>
      <c r="T467" s="182"/>
      <c r="U467" s="182"/>
      <c r="V467" s="182"/>
      <c r="W467" s="182"/>
      <c r="X467" s="182"/>
      <c r="Y467" s="182"/>
      <c r="Z467" s="172"/>
      <c r="AB467" s="175" t="str">
        <f t="shared" ref="AB467:AB471" si="185">B467</f>
        <v>Josha Vagnoman</v>
      </c>
    </row>
    <row r="468" spans="1:28" s="113" customFormat="1" ht="10.5" customHeight="1" x14ac:dyDescent="0.2">
      <c r="A468" s="198">
        <v>7</v>
      </c>
      <c r="B468" s="199" t="s">
        <v>148</v>
      </c>
      <c r="C468" s="185" t="s">
        <v>1</v>
      </c>
      <c r="D468" s="186" t="s">
        <v>59</v>
      </c>
      <c r="E468" s="186" t="s">
        <v>59</v>
      </c>
      <c r="F468" s="187" t="s">
        <v>59</v>
      </c>
      <c r="G468" s="187" t="s">
        <v>59</v>
      </c>
      <c r="H468" s="187"/>
      <c r="I468" s="186"/>
      <c r="J468" s="181"/>
      <c r="K468" s="182"/>
      <c r="L468" s="182">
        <v>3</v>
      </c>
      <c r="M468" s="182"/>
      <c r="N468" s="182"/>
      <c r="O468" s="182">
        <v>4</v>
      </c>
      <c r="P468" s="182"/>
      <c r="Q468" s="182"/>
      <c r="R468" s="182"/>
      <c r="S468" s="182"/>
      <c r="T468" s="182"/>
      <c r="U468" s="182"/>
      <c r="V468" s="182"/>
      <c r="W468" s="182"/>
      <c r="X468" s="182"/>
      <c r="Y468" s="182"/>
      <c r="Z468" s="172"/>
      <c r="AB468" s="175" t="str">
        <f t="shared" si="185"/>
        <v>Maximilian Mittelstädt</v>
      </c>
    </row>
    <row r="469" spans="1:28" s="113" customFormat="1" ht="10.5" customHeight="1" x14ac:dyDescent="0.2">
      <c r="A469" s="198">
        <v>15</v>
      </c>
      <c r="B469" s="199" t="s">
        <v>242</v>
      </c>
      <c r="C469" s="185" t="s">
        <v>1</v>
      </c>
      <c r="D469" s="186" t="s">
        <v>59</v>
      </c>
      <c r="E469" s="186" t="s">
        <v>59</v>
      </c>
      <c r="F469" s="187" t="s">
        <v>59</v>
      </c>
      <c r="G469" s="187" t="s">
        <v>59</v>
      </c>
      <c r="H469" s="187"/>
      <c r="I469" s="186"/>
      <c r="J469" s="181"/>
      <c r="K469" s="182"/>
      <c r="L469" s="182"/>
      <c r="M469" s="182"/>
      <c r="N469" s="182"/>
      <c r="O469" s="182"/>
      <c r="P469" s="182"/>
      <c r="Q469" s="182"/>
      <c r="R469" s="182"/>
      <c r="S469" s="182"/>
      <c r="T469" s="182"/>
      <c r="U469" s="182"/>
      <c r="V469" s="182"/>
      <c r="W469" s="182"/>
      <c r="X469" s="182"/>
      <c r="Y469" s="182"/>
      <c r="Z469" s="172"/>
      <c r="AB469" s="175" t="str">
        <f t="shared" si="185"/>
        <v>Pascal Stenzel</v>
      </c>
    </row>
    <row r="470" spans="1:28" s="113" customFormat="1" ht="10.5" customHeight="1" x14ac:dyDescent="0.2">
      <c r="A470" s="198">
        <v>20</v>
      </c>
      <c r="B470" s="199" t="s">
        <v>563</v>
      </c>
      <c r="C470" s="185" t="s">
        <v>1</v>
      </c>
      <c r="D470" s="186" t="s">
        <v>59</v>
      </c>
      <c r="E470" s="186" t="s">
        <v>59</v>
      </c>
      <c r="F470" s="187" t="s">
        <v>59</v>
      </c>
      <c r="G470" s="187" t="s">
        <v>59</v>
      </c>
      <c r="H470" s="187"/>
      <c r="I470" s="186"/>
      <c r="J470" s="181"/>
      <c r="K470" s="182"/>
      <c r="L470" s="182"/>
      <c r="M470" s="182"/>
      <c r="N470" s="182"/>
      <c r="O470" s="182"/>
      <c r="P470" s="182"/>
      <c r="Q470" s="182"/>
      <c r="R470" s="182"/>
      <c r="S470" s="182"/>
      <c r="T470" s="182"/>
      <c r="U470" s="182"/>
      <c r="V470" s="182"/>
      <c r="W470" s="182"/>
      <c r="X470" s="182"/>
      <c r="Y470" s="182"/>
      <c r="Z470" s="172"/>
      <c r="AB470" s="175" t="str">
        <f>B470</f>
        <v>Leonidas Stergiou (A)</v>
      </c>
    </row>
    <row r="471" spans="1:28" s="113" customFormat="1" ht="10.5" customHeight="1" x14ac:dyDescent="0.2">
      <c r="A471" s="198">
        <v>21</v>
      </c>
      <c r="B471" s="199" t="s">
        <v>277</v>
      </c>
      <c r="C471" s="185" t="s">
        <v>1</v>
      </c>
      <c r="D471" s="186" t="s">
        <v>59</v>
      </c>
      <c r="E471" s="186" t="s">
        <v>59</v>
      </c>
      <c r="F471" s="187" t="s">
        <v>59</v>
      </c>
      <c r="G471" s="187" t="s">
        <v>59</v>
      </c>
      <c r="H471" s="187"/>
      <c r="I471" s="186"/>
      <c r="J471" s="181"/>
      <c r="K471" s="182"/>
      <c r="L471" s="182"/>
      <c r="M471" s="182"/>
      <c r="N471" s="182"/>
      <c r="O471" s="182"/>
      <c r="P471" s="182"/>
      <c r="Q471" s="182"/>
      <c r="R471" s="182"/>
      <c r="S471" s="182"/>
      <c r="T471" s="182"/>
      <c r="U471" s="182"/>
      <c r="V471" s="182"/>
      <c r="W471" s="182"/>
      <c r="X471" s="182"/>
      <c r="Y471" s="182"/>
      <c r="Z471" s="172"/>
      <c r="AB471" s="175" t="str">
        <f t="shared" si="185"/>
        <v>Hikori Ito (A)</v>
      </c>
    </row>
    <row r="472" spans="1:28" s="113" customFormat="1" ht="10.5" customHeight="1" x14ac:dyDescent="0.2">
      <c r="A472" s="198">
        <v>23</v>
      </c>
      <c r="B472" s="199" t="s">
        <v>379</v>
      </c>
      <c r="C472" s="185" t="s">
        <v>1</v>
      </c>
      <c r="D472" s="186" t="s">
        <v>59</v>
      </c>
      <c r="E472" s="186" t="s">
        <v>59</v>
      </c>
      <c r="F472" s="187" t="s">
        <v>59</v>
      </c>
      <c r="G472" s="187" t="s">
        <v>59</v>
      </c>
      <c r="H472" s="187"/>
      <c r="I472" s="186"/>
      <c r="J472" s="181"/>
      <c r="K472" s="182"/>
      <c r="L472" s="182"/>
      <c r="M472" s="182"/>
      <c r="N472" s="182"/>
      <c r="O472" s="182"/>
      <c r="P472" s="182"/>
      <c r="Q472" s="182"/>
      <c r="R472" s="182"/>
      <c r="S472" s="182"/>
      <c r="T472" s="182"/>
      <c r="U472" s="182"/>
      <c r="V472" s="182"/>
      <c r="W472" s="182"/>
      <c r="X472" s="182"/>
      <c r="Y472" s="182"/>
      <c r="Z472" s="172"/>
      <c r="AB472" s="175" t="str">
        <f t="shared" ref="AB472:AB473" si="186">B472</f>
        <v>Dan-Axel Zagadou (A)</v>
      </c>
    </row>
    <row r="473" spans="1:28" s="113" customFormat="1" ht="10.5" customHeight="1" x14ac:dyDescent="0.2">
      <c r="A473" s="198">
        <v>29</v>
      </c>
      <c r="B473" s="199" t="s">
        <v>613</v>
      </c>
      <c r="C473" s="185" t="s">
        <v>1</v>
      </c>
      <c r="D473" s="186" t="s">
        <v>59</v>
      </c>
      <c r="E473" s="186" t="s">
        <v>59</v>
      </c>
      <c r="F473" s="187" t="s">
        <v>59</v>
      </c>
      <c r="G473" s="187" t="s">
        <v>59</v>
      </c>
      <c r="H473" s="187"/>
      <c r="I473" s="186"/>
      <c r="J473" s="181"/>
      <c r="K473" s="182"/>
      <c r="L473" s="182"/>
      <c r="M473" s="182"/>
      <c r="N473" s="182"/>
      <c r="O473" s="182"/>
      <c r="P473" s="182"/>
      <c r="Q473" s="182"/>
      <c r="R473" s="182"/>
      <c r="S473" s="182"/>
      <c r="T473" s="182"/>
      <c r="U473" s="182"/>
      <c r="V473" s="182"/>
      <c r="W473" s="182"/>
      <c r="X473" s="182"/>
      <c r="Y473" s="182"/>
      <c r="Z473" s="172"/>
      <c r="AB473" s="175" t="str">
        <f t="shared" si="186"/>
        <v>Anthony Rouault (A)</v>
      </c>
    </row>
    <row r="474" spans="1:28" s="113" customFormat="1" ht="10.5" customHeight="1" x14ac:dyDescent="0.2">
      <c r="A474" s="198">
        <v>49</v>
      </c>
      <c r="B474" s="199" t="s">
        <v>648</v>
      </c>
      <c r="C474" s="185" t="s">
        <v>1</v>
      </c>
      <c r="D474" s="186" t="s">
        <v>59</v>
      </c>
      <c r="E474" s="186" t="s">
        <v>59</v>
      </c>
      <c r="F474" s="187" t="s">
        <v>59</v>
      </c>
      <c r="G474" s="187" t="s">
        <v>59</v>
      </c>
      <c r="H474" s="187"/>
      <c r="I474" s="186"/>
      <c r="J474" s="181"/>
      <c r="K474" s="182"/>
      <c r="L474" s="182"/>
      <c r="M474" s="182"/>
      <c r="N474" s="182"/>
      <c r="O474" s="182"/>
      <c r="P474" s="182"/>
      <c r="Q474" s="182"/>
      <c r="R474" s="182"/>
      <c r="S474" s="182"/>
      <c r="T474" s="182"/>
      <c r="U474" s="182"/>
      <c r="V474" s="182"/>
      <c r="W474" s="182"/>
      <c r="X474" s="182"/>
      <c r="Y474" s="182"/>
      <c r="Z474" s="172"/>
      <c r="AB474" s="175" t="str">
        <f t="shared" ref="AB474:AB476" si="187">B474</f>
        <v>Moussa Cissé (A)</v>
      </c>
    </row>
    <row r="475" spans="1:28" s="113" customFormat="1" ht="10.5" customHeight="1" x14ac:dyDescent="0.2">
      <c r="A475" s="200">
        <v>5</v>
      </c>
      <c r="B475" s="190" t="s">
        <v>672</v>
      </c>
      <c r="C475" s="190" t="s">
        <v>2</v>
      </c>
      <c r="D475" s="191" t="s">
        <v>59</v>
      </c>
      <c r="E475" s="191" t="s">
        <v>59</v>
      </c>
      <c r="F475" s="192" t="s">
        <v>59</v>
      </c>
      <c r="G475" s="192" t="s">
        <v>59</v>
      </c>
      <c r="H475" s="192"/>
      <c r="I475" s="191"/>
      <c r="J475" s="181"/>
      <c r="K475" s="182"/>
      <c r="L475" s="182"/>
      <c r="M475" s="182"/>
      <c r="N475" s="182"/>
      <c r="O475" s="182"/>
      <c r="P475" s="182"/>
      <c r="Q475" s="182"/>
      <c r="R475" s="182"/>
      <c r="S475" s="182"/>
      <c r="T475" s="182"/>
      <c r="U475" s="182"/>
      <c r="V475" s="182"/>
      <c r="W475" s="182"/>
      <c r="X475" s="182"/>
      <c r="Y475" s="182"/>
      <c r="Z475" s="172"/>
      <c r="AB475" s="175" t="str">
        <f t="shared" ref="AB475" si="188">B475</f>
        <v>Mahmoud Dahoud</v>
      </c>
    </row>
    <row r="476" spans="1:28" s="113" customFormat="1" ht="10.5" customHeight="1" x14ac:dyDescent="0.2">
      <c r="A476" s="200">
        <v>6</v>
      </c>
      <c r="B476" s="190" t="s">
        <v>280</v>
      </c>
      <c r="C476" s="190" t="s">
        <v>2</v>
      </c>
      <c r="D476" s="191" t="s">
        <v>59</v>
      </c>
      <c r="E476" s="191" t="s">
        <v>59</v>
      </c>
      <c r="F476" s="192" t="s">
        <v>59</v>
      </c>
      <c r="G476" s="192" t="s">
        <v>59</v>
      </c>
      <c r="H476" s="192"/>
      <c r="I476" s="191"/>
      <c r="J476" s="181"/>
      <c r="K476" s="182"/>
      <c r="L476" s="182"/>
      <c r="M476" s="182"/>
      <c r="N476" s="182"/>
      <c r="O476" s="182"/>
      <c r="P476" s="182">
        <v>8</v>
      </c>
      <c r="Q476" s="182"/>
      <c r="R476" s="182"/>
      <c r="S476" s="182"/>
      <c r="T476" s="182"/>
      <c r="U476" s="182"/>
      <c r="V476" s="182"/>
      <c r="W476" s="182"/>
      <c r="X476" s="182"/>
      <c r="Y476" s="182"/>
      <c r="Z476" s="172"/>
      <c r="AB476" s="175" t="str">
        <f t="shared" si="187"/>
        <v>Angelo Stiller</v>
      </c>
    </row>
    <row r="477" spans="1:28" s="113" customFormat="1" ht="10.5" customHeight="1" x14ac:dyDescent="0.2">
      <c r="A477" s="200">
        <v>8</v>
      </c>
      <c r="B477" s="190" t="s">
        <v>305</v>
      </c>
      <c r="C477" s="190" t="s">
        <v>2</v>
      </c>
      <c r="D477" s="191" t="s">
        <v>59</v>
      </c>
      <c r="E477" s="191" t="s">
        <v>59</v>
      </c>
      <c r="F477" s="192" t="s">
        <v>59</v>
      </c>
      <c r="G477" s="192" t="s">
        <v>59</v>
      </c>
      <c r="H477" s="192"/>
      <c r="I477" s="191"/>
      <c r="J477" s="181"/>
      <c r="K477" s="182"/>
      <c r="L477" s="182"/>
      <c r="M477" s="182"/>
      <c r="N477" s="182"/>
      <c r="O477" s="182"/>
      <c r="P477" s="182"/>
      <c r="Q477" s="182"/>
      <c r="R477" s="182"/>
      <c r="S477" s="182"/>
      <c r="T477" s="182"/>
      <c r="U477" s="182"/>
      <c r="V477" s="182"/>
      <c r="W477" s="182"/>
      <c r="X477" s="182"/>
      <c r="Y477" s="182"/>
      <c r="Z477" s="172"/>
      <c r="AB477" s="175" t="str">
        <f t="shared" ref="AB477:AB488" si="189">B477</f>
        <v>Enzo Millot (A)</v>
      </c>
    </row>
    <row r="478" spans="1:28" s="113" customFormat="1" ht="10.5" customHeight="1" x14ac:dyDescent="0.2">
      <c r="A478" s="200">
        <v>10</v>
      </c>
      <c r="B478" s="190" t="s">
        <v>487</v>
      </c>
      <c r="C478" s="190" t="s">
        <v>2</v>
      </c>
      <c r="D478" s="191" t="s">
        <v>59</v>
      </c>
      <c r="E478" s="191" t="s">
        <v>59</v>
      </c>
      <c r="F478" s="192" t="s">
        <v>59</v>
      </c>
      <c r="G478" s="192" t="s">
        <v>59</v>
      </c>
      <c r="H478" s="192"/>
      <c r="I478" s="191"/>
      <c r="J478" s="181"/>
      <c r="K478" s="182"/>
      <c r="L478" s="182"/>
      <c r="M478" s="182"/>
      <c r="N478" s="182"/>
      <c r="O478" s="182"/>
      <c r="P478" s="182"/>
      <c r="Q478" s="182"/>
      <c r="R478" s="182"/>
      <c r="S478" s="182"/>
      <c r="T478" s="182"/>
      <c r="U478" s="182"/>
      <c r="V478" s="182"/>
      <c r="W478" s="182"/>
      <c r="X478" s="182"/>
      <c r="Y478" s="182"/>
      <c r="Z478" s="172"/>
      <c r="AB478" s="175" t="str">
        <f t="shared" ref="AB478" si="190">B478</f>
        <v>Wooyeong Jeong (A)</v>
      </c>
    </row>
    <row r="479" spans="1:28" s="113" customFormat="1" ht="10.5" customHeight="1" x14ac:dyDescent="0.2">
      <c r="A479" s="200">
        <v>16</v>
      </c>
      <c r="B479" s="190" t="s">
        <v>243</v>
      </c>
      <c r="C479" s="190" t="s">
        <v>2</v>
      </c>
      <c r="D479" s="191" t="s">
        <v>59</v>
      </c>
      <c r="E479" s="191" t="s">
        <v>59</v>
      </c>
      <c r="F479" s="192" t="s">
        <v>59</v>
      </c>
      <c r="G479" s="192" t="s">
        <v>59</v>
      </c>
      <c r="H479" s="192"/>
      <c r="I479" s="191"/>
      <c r="J479" s="181"/>
      <c r="K479" s="182"/>
      <c r="L479" s="182"/>
      <c r="M479" s="182"/>
      <c r="N479" s="182"/>
      <c r="O479" s="182"/>
      <c r="P479" s="182"/>
      <c r="Q479" s="182"/>
      <c r="R479" s="182"/>
      <c r="S479" s="182"/>
      <c r="T479" s="182"/>
      <c r="U479" s="182"/>
      <c r="V479" s="182"/>
      <c r="W479" s="182"/>
      <c r="X479" s="182"/>
      <c r="Y479" s="182"/>
      <c r="Z479" s="172"/>
      <c r="AB479" s="175" t="str">
        <f>B479</f>
        <v>Atakan Karazor</v>
      </c>
    </row>
    <row r="480" spans="1:28" s="113" customFormat="1" ht="10.5" customHeight="1" x14ac:dyDescent="0.2">
      <c r="A480" s="200">
        <v>17</v>
      </c>
      <c r="B480" s="190" t="s">
        <v>272</v>
      </c>
      <c r="C480" s="190" t="s">
        <v>2</v>
      </c>
      <c r="D480" s="191" t="s">
        <v>59</v>
      </c>
      <c r="E480" s="191" t="s">
        <v>59</v>
      </c>
      <c r="F480" s="192" t="s">
        <v>59</v>
      </c>
      <c r="G480" s="192" t="s">
        <v>59</v>
      </c>
      <c r="H480" s="192"/>
      <c r="I480" s="191"/>
      <c r="J480" s="181"/>
      <c r="K480" s="182"/>
      <c r="L480" s="182"/>
      <c r="M480" s="182"/>
      <c r="N480" s="182"/>
      <c r="O480" s="182"/>
      <c r="P480" s="182"/>
      <c r="Q480" s="182"/>
      <c r="R480" s="182"/>
      <c r="S480" s="182"/>
      <c r="T480" s="182"/>
      <c r="U480" s="182"/>
      <c r="V480" s="182"/>
      <c r="W480" s="182"/>
      <c r="X480" s="182"/>
      <c r="Y480" s="182"/>
      <c r="Z480" s="172"/>
      <c r="AB480" s="175" t="str">
        <f>B480</f>
        <v>Genki Haraguchi (A)</v>
      </c>
    </row>
    <row r="481" spans="1:28" s="113" customFormat="1" ht="10.5" customHeight="1" x14ac:dyDescent="0.2">
      <c r="A481" s="200">
        <v>25</v>
      </c>
      <c r="B481" s="190" t="s">
        <v>245</v>
      </c>
      <c r="C481" s="190" t="s">
        <v>2</v>
      </c>
      <c r="D481" s="191" t="s">
        <v>59</v>
      </c>
      <c r="E481" s="191" t="s">
        <v>59</v>
      </c>
      <c r="F481" s="192" t="s">
        <v>59</v>
      </c>
      <c r="G481" s="192" t="s">
        <v>59</v>
      </c>
      <c r="H481" s="192"/>
      <c r="I481" s="191"/>
      <c r="J481" s="181"/>
      <c r="K481" s="182"/>
      <c r="L481" s="182"/>
      <c r="M481" s="182"/>
      <c r="N481" s="182"/>
      <c r="O481" s="182"/>
      <c r="P481" s="182"/>
      <c r="Q481" s="182"/>
      <c r="R481" s="182"/>
      <c r="S481" s="182"/>
      <c r="T481" s="182"/>
      <c r="U481" s="182"/>
      <c r="V481" s="182"/>
      <c r="W481" s="182"/>
      <c r="X481" s="182"/>
      <c r="Y481" s="182"/>
      <c r="Z481" s="172"/>
      <c r="AB481" s="175" t="str">
        <f t="shared" si="189"/>
        <v>Lilian Egloff</v>
      </c>
    </row>
    <row r="482" spans="1:28" s="113" customFormat="1" ht="10.5" customHeight="1" x14ac:dyDescent="0.2">
      <c r="A482" s="200">
        <v>27</v>
      </c>
      <c r="B482" s="190" t="s">
        <v>275</v>
      </c>
      <c r="C482" s="190" t="s">
        <v>2</v>
      </c>
      <c r="D482" s="191" t="s">
        <v>59</v>
      </c>
      <c r="E482" s="191" t="s">
        <v>59</v>
      </c>
      <c r="F482" s="192" t="s">
        <v>59</v>
      </c>
      <c r="G482" s="192" t="s">
        <v>59</v>
      </c>
      <c r="H482" s="192"/>
      <c r="I482" s="191"/>
      <c r="J482" s="181"/>
      <c r="K482" s="182">
        <v>8</v>
      </c>
      <c r="L482" s="182"/>
      <c r="M482" s="182"/>
      <c r="N482" s="182"/>
      <c r="O482" s="182">
        <v>6</v>
      </c>
      <c r="P482" s="182">
        <v>5</v>
      </c>
      <c r="Q482" s="182"/>
      <c r="R482" s="182">
        <v>8</v>
      </c>
      <c r="S482" s="182">
        <v>7</v>
      </c>
      <c r="T482" s="182"/>
      <c r="U482" s="182"/>
      <c r="V482" s="182"/>
      <c r="W482" s="182"/>
      <c r="X482" s="182"/>
      <c r="Y482" s="182"/>
      <c r="Z482" s="172"/>
      <c r="AB482" s="175" t="str">
        <f t="shared" si="189"/>
        <v>Chris Führich</v>
      </c>
    </row>
    <row r="483" spans="1:28" s="113" customFormat="1" ht="10.5" customHeight="1" x14ac:dyDescent="0.2">
      <c r="A483" s="200">
        <v>28</v>
      </c>
      <c r="B483" s="190" t="s">
        <v>276</v>
      </c>
      <c r="C483" s="190" t="s">
        <v>2</v>
      </c>
      <c r="D483" s="191" t="s">
        <v>59</v>
      </c>
      <c r="E483" s="191" t="s">
        <v>59</v>
      </c>
      <c r="F483" s="192" t="s">
        <v>59</v>
      </c>
      <c r="G483" s="192" t="s">
        <v>59</v>
      </c>
      <c r="H483" s="192"/>
      <c r="I483" s="191"/>
      <c r="J483" s="181"/>
      <c r="K483" s="182"/>
      <c r="L483" s="182"/>
      <c r="M483" s="182"/>
      <c r="N483" s="182"/>
      <c r="O483" s="182"/>
      <c r="P483" s="182"/>
      <c r="Q483" s="182"/>
      <c r="R483" s="182"/>
      <c r="S483" s="182"/>
      <c r="T483" s="182"/>
      <c r="U483" s="182"/>
      <c r="V483" s="182"/>
      <c r="W483" s="182"/>
      <c r="X483" s="182"/>
      <c r="Y483" s="182"/>
      <c r="Z483" s="172"/>
      <c r="AB483" s="175" t="str">
        <f t="shared" si="189"/>
        <v>Nikolas Nartey (A)</v>
      </c>
    </row>
    <row r="484" spans="1:28" s="113" customFormat="1" ht="10.5" customHeight="1" x14ac:dyDescent="0.2">
      <c r="A484" s="200">
        <v>32</v>
      </c>
      <c r="B484" s="190" t="s">
        <v>488</v>
      </c>
      <c r="C484" s="190" t="s">
        <v>2</v>
      </c>
      <c r="D484" s="191" t="s">
        <v>59</v>
      </c>
      <c r="E484" s="191" t="s">
        <v>59</v>
      </c>
      <c r="F484" s="192" t="s">
        <v>59</v>
      </c>
      <c r="G484" s="192" t="s">
        <v>59</v>
      </c>
      <c r="H484" s="192"/>
      <c r="I484" s="191"/>
      <c r="J484" s="181"/>
      <c r="K484" s="182"/>
      <c r="L484" s="182"/>
      <c r="M484" s="182"/>
      <c r="N484" s="182"/>
      <c r="O484" s="182"/>
      <c r="P484" s="182"/>
      <c r="Q484" s="182"/>
      <c r="R484" s="182"/>
      <c r="S484" s="182"/>
      <c r="T484" s="182"/>
      <c r="U484" s="182"/>
      <c r="V484" s="182"/>
      <c r="W484" s="182"/>
      <c r="X484" s="182"/>
      <c r="Y484" s="182"/>
      <c r="Z484" s="172"/>
      <c r="AB484" s="175" t="str">
        <f t="shared" ref="AB484:AB487" si="191">B484</f>
        <v>Roberto Massimo</v>
      </c>
    </row>
    <row r="485" spans="1:28" s="113" customFormat="1" ht="10.5" customHeight="1" x14ac:dyDescent="0.2">
      <c r="A485" s="200">
        <v>36</v>
      </c>
      <c r="B485" s="190" t="s">
        <v>383</v>
      </c>
      <c r="C485" s="190" t="s">
        <v>2</v>
      </c>
      <c r="D485" s="191" t="s">
        <v>59</v>
      </c>
      <c r="E485" s="191" t="s">
        <v>59</v>
      </c>
      <c r="F485" s="192" t="s">
        <v>59</v>
      </c>
      <c r="G485" s="192" t="s">
        <v>59</v>
      </c>
      <c r="H485" s="192"/>
      <c r="I485" s="191"/>
      <c r="J485" s="181"/>
      <c r="K485" s="182"/>
      <c r="L485" s="182"/>
      <c r="M485" s="182"/>
      <c r="N485" s="182"/>
      <c r="O485" s="182"/>
      <c r="P485" s="182"/>
      <c r="Q485" s="182"/>
      <c r="R485" s="182"/>
      <c r="S485" s="182"/>
      <c r="T485" s="182"/>
      <c r="U485" s="182"/>
      <c r="V485" s="182"/>
      <c r="W485" s="182"/>
      <c r="X485" s="182"/>
      <c r="Y485" s="182"/>
      <c r="Z485" s="172"/>
      <c r="AB485" s="175" t="str">
        <f t="shared" si="191"/>
        <v>Laurin Ulrich</v>
      </c>
    </row>
    <row r="486" spans="1:28" s="113" customFormat="1" ht="10.5" customHeight="1" x14ac:dyDescent="0.2">
      <c r="A486" s="200">
        <v>40</v>
      </c>
      <c r="B486" s="190" t="s">
        <v>615</v>
      </c>
      <c r="C486" s="190" t="s">
        <v>2</v>
      </c>
      <c r="D486" s="191" t="s">
        <v>59</v>
      </c>
      <c r="E486" s="191" t="s">
        <v>59</v>
      </c>
      <c r="F486" s="192" t="s">
        <v>59</v>
      </c>
      <c r="G486" s="192" t="s">
        <v>59</v>
      </c>
      <c r="H486" s="192"/>
      <c r="I486" s="191"/>
      <c r="J486" s="181"/>
      <c r="K486" s="182"/>
      <c r="L486" s="182"/>
      <c r="M486" s="182"/>
      <c r="N486" s="182"/>
      <c r="O486" s="182"/>
      <c r="P486" s="182"/>
      <c r="Q486" s="182"/>
      <c r="R486" s="182"/>
      <c r="S486" s="182"/>
      <c r="T486" s="182"/>
      <c r="U486" s="182"/>
      <c r="V486" s="182"/>
      <c r="W486" s="182"/>
      <c r="X486" s="182"/>
      <c r="Y486" s="182"/>
      <c r="Z486" s="172"/>
      <c r="AB486" s="175" t="str">
        <f t="shared" si="191"/>
        <v>Luca Raimund</v>
      </c>
    </row>
    <row r="487" spans="1:28" s="113" customFormat="1" ht="10.5" customHeight="1" x14ac:dyDescent="0.2">
      <c r="A487" s="200">
        <v>43</v>
      </c>
      <c r="B487" s="190" t="s">
        <v>649</v>
      </c>
      <c r="C487" s="190" t="s">
        <v>2</v>
      </c>
      <c r="D487" s="191" t="s">
        <v>59</v>
      </c>
      <c r="E487" s="191" t="s">
        <v>59</v>
      </c>
      <c r="F487" s="192" t="s">
        <v>59</v>
      </c>
      <c r="G487" s="192" t="s">
        <v>59</v>
      </c>
      <c r="H487" s="192"/>
      <c r="I487" s="191"/>
      <c r="J487" s="181"/>
      <c r="K487" s="182"/>
      <c r="L487" s="182"/>
      <c r="M487" s="182"/>
      <c r="N487" s="182"/>
      <c r="O487" s="182"/>
      <c r="P487" s="182"/>
      <c r="Q487" s="182"/>
      <c r="R487" s="182"/>
      <c r="S487" s="182"/>
      <c r="T487" s="182"/>
      <c r="U487" s="182"/>
      <c r="V487" s="182"/>
      <c r="W487" s="182"/>
      <c r="X487" s="182"/>
      <c r="Y487" s="182"/>
      <c r="Z487" s="172"/>
      <c r="AB487" s="175" t="str">
        <f t="shared" si="191"/>
        <v>Raul Paula</v>
      </c>
    </row>
    <row r="488" spans="1:28" s="113" customFormat="1" ht="10.5" customHeight="1" x14ac:dyDescent="0.2">
      <c r="A488" s="200">
        <v>46</v>
      </c>
      <c r="B488" s="190" t="s">
        <v>637</v>
      </c>
      <c r="C488" s="190" t="s">
        <v>2</v>
      </c>
      <c r="D488" s="191" t="s">
        <v>59</v>
      </c>
      <c r="E488" s="191" t="s">
        <v>59</v>
      </c>
      <c r="F488" s="192" t="s">
        <v>59</v>
      </c>
      <c r="G488" s="192" t="s">
        <v>59</v>
      </c>
      <c r="H488" s="192"/>
      <c r="I488" s="191"/>
      <c r="J488" s="181"/>
      <c r="K488" s="182"/>
      <c r="L488" s="182"/>
      <c r="M488" s="182"/>
      <c r="N488" s="182"/>
      <c r="O488" s="182"/>
      <c r="P488" s="182"/>
      <c r="Q488" s="182"/>
      <c r="R488" s="182"/>
      <c r="S488" s="182"/>
      <c r="T488" s="182"/>
      <c r="U488" s="182"/>
      <c r="V488" s="182"/>
      <c r="W488" s="182"/>
      <c r="X488" s="182"/>
      <c r="Y488" s="182"/>
      <c r="Z488" s="172"/>
      <c r="AB488" s="175" t="str">
        <f t="shared" si="189"/>
        <v>Samuele Di Benedetto</v>
      </c>
    </row>
    <row r="489" spans="1:28" s="113" customFormat="1" ht="10.5" customHeight="1" x14ac:dyDescent="0.2">
      <c r="A489" s="201">
        <v>9</v>
      </c>
      <c r="B489" s="195" t="s">
        <v>380</v>
      </c>
      <c r="C489" s="195" t="s">
        <v>3</v>
      </c>
      <c r="D489" s="196" t="s">
        <v>59</v>
      </c>
      <c r="E489" s="196" t="s">
        <v>59</v>
      </c>
      <c r="F489" s="197" t="s">
        <v>59</v>
      </c>
      <c r="G489" s="197" t="s">
        <v>59</v>
      </c>
      <c r="H489" s="197"/>
      <c r="I489" s="196"/>
      <c r="J489" s="181"/>
      <c r="K489" s="182">
        <v>11</v>
      </c>
      <c r="L489" s="182">
        <v>11</v>
      </c>
      <c r="M489" s="182">
        <v>10</v>
      </c>
      <c r="N489" s="182"/>
      <c r="O489" s="182"/>
      <c r="P489" s="182"/>
      <c r="Q489" s="182">
        <v>9</v>
      </c>
      <c r="R489" s="182">
        <v>9</v>
      </c>
      <c r="S489" s="182">
        <v>11</v>
      </c>
      <c r="T489" s="182"/>
      <c r="U489" s="182"/>
      <c r="V489" s="182"/>
      <c r="W489" s="182"/>
      <c r="X489" s="182"/>
      <c r="Y489" s="182"/>
      <c r="Z489" s="172"/>
      <c r="AB489" s="175" t="str">
        <f t="shared" ref="AB489:AB491" si="192">B489</f>
        <v>Serhou Guirassy (A)</v>
      </c>
    </row>
    <row r="490" spans="1:28" s="113" customFormat="1" ht="10.5" customHeight="1" x14ac:dyDescent="0.2">
      <c r="A490" s="201">
        <v>14</v>
      </c>
      <c r="B490" s="195" t="s">
        <v>274</v>
      </c>
      <c r="C490" s="195" t="s">
        <v>3</v>
      </c>
      <c r="D490" s="196" t="s">
        <v>59</v>
      </c>
      <c r="E490" s="196" t="s">
        <v>59</v>
      </c>
      <c r="F490" s="197" t="s">
        <v>59</v>
      </c>
      <c r="G490" s="197" t="s">
        <v>59</v>
      </c>
      <c r="H490" s="197"/>
      <c r="I490" s="196"/>
      <c r="J490" s="181"/>
      <c r="K490" s="182"/>
      <c r="L490" s="182"/>
      <c r="M490" s="182"/>
      <c r="N490" s="182"/>
      <c r="O490" s="182"/>
      <c r="P490" s="182"/>
      <c r="Q490" s="182"/>
      <c r="R490" s="182"/>
      <c r="S490" s="182"/>
      <c r="T490" s="182"/>
      <c r="U490" s="182"/>
      <c r="V490" s="182"/>
      <c r="W490" s="182"/>
      <c r="X490" s="182"/>
      <c r="Y490" s="182"/>
      <c r="Z490" s="172"/>
      <c r="AB490" s="175" t="str">
        <f t="shared" si="192"/>
        <v>Silas Katompa Mvumpa (A)</v>
      </c>
    </row>
    <row r="491" spans="1:28" s="113" customFormat="1" ht="10.5" customHeight="1" x14ac:dyDescent="0.2">
      <c r="A491" s="201">
        <v>18</v>
      </c>
      <c r="B491" s="195" t="s">
        <v>489</v>
      </c>
      <c r="C491" s="195" t="s">
        <v>3</v>
      </c>
      <c r="D491" s="196" t="s">
        <v>59</v>
      </c>
      <c r="E491" s="196" t="s">
        <v>59</v>
      </c>
      <c r="F491" s="197" t="s">
        <v>59</v>
      </c>
      <c r="G491" s="197" t="s">
        <v>59</v>
      </c>
      <c r="H491" s="197"/>
      <c r="I491" s="196"/>
      <c r="J491" s="181"/>
      <c r="K491" s="182"/>
      <c r="L491" s="182"/>
      <c r="M491" s="182"/>
      <c r="N491" s="182"/>
      <c r="O491" s="182"/>
      <c r="P491" s="182"/>
      <c r="Q491" s="182"/>
      <c r="R491" s="182"/>
      <c r="S491" s="182"/>
      <c r="T491" s="182"/>
      <c r="U491" s="182"/>
      <c r="V491" s="182"/>
      <c r="W491" s="182"/>
      <c r="X491" s="182"/>
      <c r="Y491" s="182"/>
      <c r="Z491" s="172"/>
      <c r="AB491" s="175" t="str">
        <f t="shared" si="192"/>
        <v>Jamie Leweling</v>
      </c>
    </row>
    <row r="492" spans="1:28" s="113" customFormat="1" ht="10.5" customHeight="1" x14ac:dyDescent="0.2">
      <c r="A492" s="201">
        <v>19</v>
      </c>
      <c r="B492" s="195" t="s">
        <v>592</v>
      </c>
      <c r="C492" s="195" t="s">
        <v>3</v>
      </c>
      <c r="D492" s="196" t="s">
        <v>59</v>
      </c>
      <c r="E492" s="196" t="s">
        <v>59</v>
      </c>
      <c r="F492" s="197" t="s">
        <v>59</v>
      </c>
      <c r="G492" s="197" t="s">
        <v>59</v>
      </c>
      <c r="H492" s="197"/>
      <c r="I492" s="196"/>
      <c r="J492" s="181"/>
      <c r="K492" s="182"/>
      <c r="L492" s="182"/>
      <c r="M492" s="182"/>
      <c r="N492" s="182"/>
      <c r="O492" s="182"/>
      <c r="P492" s="182"/>
      <c r="Q492" s="182"/>
      <c r="R492" s="182"/>
      <c r="S492" s="182"/>
      <c r="T492" s="182"/>
      <c r="U492" s="182"/>
      <c r="V492" s="182"/>
      <c r="W492" s="182"/>
      <c r="X492" s="182"/>
      <c r="Y492" s="182"/>
      <c r="Z492" s="172"/>
      <c r="AB492" s="175" t="str">
        <f>B492</f>
        <v>Jovan Milošević (A)</v>
      </c>
    </row>
    <row r="493" spans="1:28" s="113" customFormat="1" ht="10.5" customHeight="1" x14ac:dyDescent="0.2">
      <c r="A493" s="201">
        <v>26</v>
      </c>
      <c r="B493" s="195" t="s">
        <v>490</v>
      </c>
      <c r="C493" s="195" t="s">
        <v>3</v>
      </c>
      <c r="D493" s="196" t="s">
        <v>59</v>
      </c>
      <c r="E493" s="196" t="s">
        <v>59</v>
      </c>
      <c r="F493" s="197" t="s">
        <v>59</v>
      </c>
      <c r="G493" s="197" t="s">
        <v>59</v>
      </c>
      <c r="H493" s="197"/>
      <c r="I493" s="196"/>
      <c r="J493" s="181"/>
      <c r="K493" s="182"/>
      <c r="L493" s="182"/>
      <c r="M493" s="182">
        <v>11</v>
      </c>
      <c r="N493" s="182">
        <v>10</v>
      </c>
      <c r="O493" s="182"/>
      <c r="P493" s="182"/>
      <c r="Q493" s="182"/>
      <c r="R493" s="182"/>
      <c r="S493" s="182"/>
      <c r="T493" s="182"/>
      <c r="U493" s="182"/>
      <c r="V493" s="182"/>
      <c r="W493" s="182"/>
      <c r="X493" s="182"/>
      <c r="Y493" s="182"/>
      <c r="Z493" s="172"/>
      <c r="AB493" s="175" t="str">
        <f t="shared" ref="AB493" si="193">B493</f>
        <v>Deniz Undav</v>
      </c>
    </row>
    <row r="494" spans="1:28" ht="15" customHeight="1" thickBot="1" x14ac:dyDescent="0.25">
      <c r="A494" s="220" t="s">
        <v>404</v>
      </c>
      <c r="B494" s="220"/>
      <c r="C494" s="220"/>
      <c r="D494" s="220"/>
      <c r="E494" s="220"/>
      <c r="F494" s="220"/>
      <c r="G494" s="220"/>
      <c r="H494" s="220"/>
      <c r="I494" s="220"/>
      <c r="J494" s="10"/>
      <c r="K494" s="176">
        <v>12</v>
      </c>
      <c r="L494" s="176">
        <v>12</v>
      </c>
      <c r="M494" s="176">
        <v>12</v>
      </c>
      <c r="N494" s="176">
        <v>12</v>
      </c>
      <c r="O494" s="176">
        <v>12</v>
      </c>
      <c r="P494" s="176">
        <v>12</v>
      </c>
      <c r="Q494" s="176">
        <v>12</v>
      </c>
      <c r="R494" s="176">
        <v>12</v>
      </c>
      <c r="S494" s="176">
        <v>12</v>
      </c>
      <c r="T494" s="176">
        <v>12</v>
      </c>
      <c r="U494" s="176">
        <v>12</v>
      </c>
      <c r="V494" s="176">
        <v>12</v>
      </c>
      <c r="W494" s="176">
        <v>12</v>
      </c>
      <c r="X494" s="176">
        <v>12</v>
      </c>
      <c r="Y494" s="176">
        <v>12</v>
      </c>
      <c r="Z494" s="217"/>
      <c r="AB494" s="175" t="str">
        <f>A494</f>
        <v>1.FC Heidenheim</v>
      </c>
    </row>
    <row r="495" spans="1:28" s="113" customFormat="1" ht="10.5" customHeight="1" x14ac:dyDescent="0.2">
      <c r="A495" s="177">
        <v>1</v>
      </c>
      <c r="B495" s="178" t="s">
        <v>491</v>
      </c>
      <c r="C495" s="178" t="s">
        <v>0</v>
      </c>
      <c r="D495" s="179" t="s">
        <v>59</v>
      </c>
      <c r="E495" s="179" t="s">
        <v>59</v>
      </c>
      <c r="F495" s="180" t="s">
        <v>59</v>
      </c>
      <c r="G495" s="180" t="s">
        <v>59</v>
      </c>
      <c r="H495" s="180"/>
      <c r="I495" s="179"/>
      <c r="J495" s="181"/>
      <c r="K495" s="182"/>
      <c r="L495" s="182"/>
      <c r="M495" s="182"/>
      <c r="N495" s="182"/>
      <c r="O495" s="182"/>
      <c r="P495" s="182"/>
      <c r="Q495" s="182"/>
      <c r="R495" s="182"/>
      <c r="S495" s="182"/>
      <c r="T495" s="182"/>
      <c r="U495" s="182"/>
      <c r="V495" s="182"/>
      <c r="W495" s="182"/>
      <c r="X495" s="182"/>
      <c r="Y495" s="182"/>
      <c r="Z495" s="172"/>
      <c r="AB495" s="175" t="str">
        <f t="shared" ref="AB495:AB497" si="194">B495</f>
        <v>Kevin Müller</v>
      </c>
    </row>
    <row r="496" spans="1:28" s="113" customFormat="1" ht="10.5" customHeight="1" x14ac:dyDescent="0.2">
      <c r="A496" s="177">
        <v>22</v>
      </c>
      <c r="B496" s="178" t="s">
        <v>492</v>
      </c>
      <c r="C496" s="178" t="s">
        <v>0</v>
      </c>
      <c r="D496" s="179" t="s">
        <v>59</v>
      </c>
      <c r="E496" s="179" t="s">
        <v>59</v>
      </c>
      <c r="F496" s="180" t="s">
        <v>59</v>
      </c>
      <c r="G496" s="180" t="s">
        <v>59</v>
      </c>
      <c r="H496" s="180"/>
      <c r="I496" s="179"/>
      <c r="J496" s="181"/>
      <c r="K496" s="182"/>
      <c r="L496" s="182"/>
      <c r="M496" s="182"/>
      <c r="N496" s="182"/>
      <c r="O496" s="182"/>
      <c r="P496" s="182"/>
      <c r="Q496" s="182"/>
      <c r="R496" s="182"/>
      <c r="S496" s="182"/>
      <c r="T496" s="182"/>
      <c r="U496" s="182"/>
      <c r="V496" s="182"/>
      <c r="W496" s="182"/>
      <c r="X496" s="182"/>
      <c r="Y496" s="182"/>
      <c r="Z496" s="172"/>
      <c r="AB496" s="175" t="str">
        <f t="shared" ref="AB496" si="195">B496</f>
        <v>Vitus Eicher</v>
      </c>
    </row>
    <row r="497" spans="1:28" s="113" customFormat="1" ht="10.5" customHeight="1" x14ac:dyDescent="0.2">
      <c r="A497" s="177">
        <v>34</v>
      </c>
      <c r="B497" s="178" t="s">
        <v>493</v>
      </c>
      <c r="C497" s="178" t="s">
        <v>0</v>
      </c>
      <c r="D497" s="179" t="s">
        <v>59</v>
      </c>
      <c r="E497" s="179" t="s">
        <v>59</v>
      </c>
      <c r="F497" s="180" t="s">
        <v>59</v>
      </c>
      <c r="G497" s="180" t="s">
        <v>59</v>
      </c>
      <c r="H497" s="180"/>
      <c r="I497" s="179"/>
      <c r="J497" s="181"/>
      <c r="K497" s="182"/>
      <c r="L497" s="182"/>
      <c r="M497" s="182"/>
      <c r="N497" s="182"/>
      <c r="O497" s="182"/>
      <c r="P497" s="182"/>
      <c r="Q497" s="182"/>
      <c r="R497" s="182"/>
      <c r="S497" s="182"/>
      <c r="T497" s="182"/>
      <c r="U497" s="182"/>
      <c r="V497" s="182"/>
      <c r="W497" s="182"/>
      <c r="X497" s="182"/>
      <c r="Y497" s="182"/>
      <c r="Z497" s="172"/>
      <c r="AB497" s="175" t="str">
        <f t="shared" si="194"/>
        <v>Paul Tschernuth (A)</v>
      </c>
    </row>
    <row r="498" spans="1:28" s="113" customFormat="1" ht="10.5" customHeight="1" x14ac:dyDescent="0.2">
      <c r="A498" s="177">
        <v>40</v>
      </c>
      <c r="B498" s="178" t="s">
        <v>494</v>
      </c>
      <c r="C498" s="178" t="s">
        <v>0</v>
      </c>
      <c r="D498" s="179" t="s">
        <v>59</v>
      </c>
      <c r="E498" s="179" t="s">
        <v>59</v>
      </c>
      <c r="F498" s="180" t="s">
        <v>59</v>
      </c>
      <c r="G498" s="180" t="s">
        <v>59</v>
      </c>
      <c r="H498" s="180"/>
      <c r="I498" s="179"/>
      <c r="J498" s="181"/>
      <c r="K498" s="182"/>
      <c r="L498" s="182"/>
      <c r="M498" s="182"/>
      <c r="N498" s="182"/>
      <c r="O498" s="182"/>
      <c r="P498" s="182"/>
      <c r="Q498" s="182"/>
      <c r="R498" s="182"/>
      <c r="S498" s="182"/>
      <c r="T498" s="182"/>
      <c r="U498" s="182"/>
      <c r="V498" s="182"/>
      <c r="W498" s="182"/>
      <c r="X498" s="182"/>
      <c r="Y498" s="182"/>
      <c r="Z498" s="172"/>
      <c r="AB498" s="175" t="str">
        <f t="shared" ref="AB498" si="196">B498</f>
        <v>Frank Feller</v>
      </c>
    </row>
    <row r="499" spans="1:28" s="113" customFormat="1" ht="10.5" customHeight="1" x14ac:dyDescent="0.2">
      <c r="A499" s="198">
        <v>2</v>
      </c>
      <c r="B499" s="199" t="s">
        <v>495</v>
      </c>
      <c r="C499" s="185" t="s">
        <v>1</v>
      </c>
      <c r="D499" s="186" t="s">
        <v>59</v>
      </c>
      <c r="E499" s="186" t="s">
        <v>59</v>
      </c>
      <c r="F499" s="187" t="s">
        <v>59</v>
      </c>
      <c r="G499" s="187" t="s">
        <v>59</v>
      </c>
      <c r="H499" s="187"/>
      <c r="I499" s="186"/>
      <c r="J499" s="181"/>
      <c r="K499" s="182"/>
      <c r="L499" s="182"/>
      <c r="M499" s="182"/>
      <c r="N499" s="182"/>
      <c r="O499" s="182"/>
      <c r="P499" s="182"/>
      <c r="Q499" s="182"/>
      <c r="R499" s="182"/>
      <c r="S499" s="182"/>
      <c r="T499" s="182"/>
      <c r="U499" s="182"/>
      <c r="V499" s="182"/>
      <c r="W499" s="182"/>
      <c r="X499" s="182"/>
      <c r="Y499" s="182"/>
      <c r="Z499" s="172"/>
      <c r="AB499" s="175" t="str">
        <f t="shared" ref="AB499" si="197">B499</f>
        <v>Marnon Busch</v>
      </c>
    </row>
    <row r="500" spans="1:28" s="113" customFormat="1" ht="10.5" customHeight="1" x14ac:dyDescent="0.2">
      <c r="A500" s="198">
        <v>4</v>
      </c>
      <c r="B500" s="199" t="s">
        <v>496</v>
      </c>
      <c r="C500" s="185" t="s">
        <v>1</v>
      </c>
      <c r="D500" s="186" t="s">
        <v>59</v>
      </c>
      <c r="E500" s="186" t="s">
        <v>59</v>
      </c>
      <c r="F500" s="187" t="s">
        <v>59</v>
      </c>
      <c r="G500" s="187" t="s">
        <v>59</v>
      </c>
      <c r="H500" s="187"/>
      <c r="I500" s="186"/>
      <c r="J500" s="181"/>
      <c r="K500" s="182"/>
      <c r="L500" s="182"/>
      <c r="M500" s="182"/>
      <c r="N500" s="182"/>
      <c r="O500" s="182"/>
      <c r="P500" s="182"/>
      <c r="Q500" s="182"/>
      <c r="R500" s="182"/>
      <c r="S500" s="182"/>
      <c r="T500" s="182"/>
      <c r="U500" s="182"/>
      <c r="V500" s="182"/>
      <c r="W500" s="182"/>
      <c r="X500" s="182"/>
      <c r="Y500" s="182"/>
      <c r="Z500" s="172"/>
      <c r="AB500" s="175" t="str">
        <f t="shared" ref="AB500:AB505" si="198">B500</f>
        <v>Tim Siersleben</v>
      </c>
    </row>
    <row r="501" spans="1:28" s="113" customFormat="1" ht="10.5" customHeight="1" x14ac:dyDescent="0.2">
      <c r="A501" s="198">
        <v>6</v>
      </c>
      <c r="B501" s="199" t="s">
        <v>497</v>
      </c>
      <c r="C501" s="185" t="s">
        <v>1</v>
      </c>
      <c r="D501" s="186" t="s">
        <v>59</v>
      </c>
      <c r="E501" s="186" t="s">
        <v>59</v>
      </c>
      <c r="F501" s="187" t="s">
        <v>59</v>
      </c>
      <c r="G501" s="187" t="s">
        <v>59</v>
      </c>
      <c r="H501" s="187"/>
      <c r="I501" s="186"/>
      <c r="J501" s="181"/>
      <c r="K501" s="182"/>
      <c r="L501" s="182"/>
      <c r="M501" s="182"/>
      <c r="N501" s="182"/>
      <c r="O501" s="182"/>
      <c r="P501" s="182"/>
      <c r="Q501" s="182"/>
      <c r="R501" s="182"/>
      <c r="S501" s="182"/>
      <c r="T501" s="182"/>
      <c r="U501" s="182"/>
      <c r="V501" s="182"/>
      <c r="W501" s="182"/>
      <c r="X501" s="182"/>
      <c r="Y501" s="182"/>
      <c r="Z501" s="172"/>
      <c r="AB501" s="175" t="str">
        <f>B501</f>
        <v>Patrick Mainka</v>
      </c>
    </row>
    <row r="502" spans="1:28" s="113" customFormat="1" ht="10.5" customHeight="1" x14ac:dyDescent="0.2">
      <c r="A502" s="198">
        <v>19</v>
      </c>
      <c r="B502" s="199" t="s">
        <v>498</v>
      </c>
      <c r="C502" s="185" t="s">
        <v>1</v>
      </c>
      <c r="D502" s="186" t="s">
        <v>59</v>
      </c>
      <c r="E502" s="186" t="s">
        <v>59</v>
      </c>
      <c r="F502" s="187" t="s">
        <v>59</v>
      </c>
      <c r="G502" s="187" t="s">
        <v>59</v>
      </c>
      <c r="H502" s="187"/>
      <c r="I502" s="186"/>
      <c r="J502" s="181"/>
      <c r="K502" s="182"/>
      <c r="L502" s="182"/>
      <c r="M502" s="182"/>
      <c r="N502" s="182"/>
      <c r="O502" s="182"/>
      <c r="P502" s="182"/>
      <c r="Q502" s="182"/>
      <c r="R502" s="182"/>
      <c r="S502" s="182"/>
      <c r="T502" s="182"/>
      <c r="U502" s="182"/>
      <c r="V502" s="182"/>
      <c r="W502" s="182"/>
      <c r="X502" s="182"/>
      <c r="Y502" s="182"/>
      <c r="Z502" s="172"/>
      <c r="AB502" s="175" t="str">
        <f t="shared" ref="AB502:AB504" si="199">B502</f>
        <v>Jonas Föhrenbach</v>
      </c>
    </row>
    <row r="503" spans="1:28" s="113" customFormat="1" ht="10.5" customHeight="1" x14ac:dyDescent="0.2">
      <c r="A503" s="198">
        <v>23</v>
      </c>
      <c r="B503" s="199" t="s">
        <v>589</v>
      </c>
      <c r="C503" s="185" t="s">
        <v>1</v>
      </c>
      <c r="D503" s="186" t="s">
        <v>59</v>
      </c>
      <c r="E503" s="186" t="s">
        <v>59</v>
      </c>
      <c r="F503" s="187" t="s">
        <v>59</v>
      </c>
      <c r="G503" s="187" t="s">
        <v>59</v>
      </c>
      <c r="H503" s="187"/>
      <c r="I503" s="186"/>
      <c r="J503" s="181"/>
      <c r="K503" s="182"/>
      <c r="L503" s="182"/>
      <c r="M503" s="182"/>
      <c r="N503" s="182"/>
      <c r="O503" s="182"/>
      <c r="P503" s="182"/>
      <c r="Q503" s="182"/>
      <c r="R503" s="182"/>
      <c r="S503" s="182"/>
      <c r="T503" s="182"/>
      <c r="U503" s="182"/>
      <c r="V503" s="182"/>
      <c r="W503" s="182"/>
      <c r="X503" s="182"/>
      <c r="Y503" s="182"/>
      <c r="Z503" s="172"/>
      <c r="AB503" s="175" t="str">
        <f t="shared" si="199"/>
        <v>Omar Haktab Traoré</v>
      </c>
    </row>
    <row r="504" spans="1:28" s="113" customFormat="1" ht="10.5" customHeight="1" x14ac:dyDescent="0.2">
      <c r="A504" s="198">
        <v>27</v>
      </c>
      <c r="B504" s="199" t="s">
        <v>499</v>
      </c>
      <c r="C504" s="185" t="s">
        <v>1</v>
      </c>
      <c r="D504" s="186" t="s">
        <v>59</v>
      </c>
      <c r="E504" s="186" t="s">
        <v>59</v>
      </c>
      <c r="F504" s="187" t="s">
        <v>59</v>
      </c>
      <c r="G504" s="187" t="s">
        <v>59</v>
      </c>
      <c r="H504" s="187"/>
      <c r="I504" s="186"/>
      <c r="J504" s="181"/>
      <c r="K504" s="182"/>
      <c r="L504" s="182"/>
      <c r="M504" s="182"/>
      <c r="N504" s="182"/>
      <c r="O504" s="182"/>
      <c r="P504" s="182"/>
      <c r="Q504" s="182"/>
      <c r="R504" s="182"/>
      <c r="S504" s="182"/>
      <c r="T504" s="182"/>
      <c r="U504" s="182"/>
      <c r="V504" s="182"/>
      <c r="W504" s="182"/>
      <c r="X504" s="182"/>
      <c r="Y504" s="182"/>
      <c r="Z504" s="172"/>
      <c r="AB504" s="175" t="str">
        <f t="shared" si="199"/>
        <v>Thomas Keller</v>
      </c>
    </row>
    <row r="505" spans="1:28" s="113" customFormat="1" ht="10.5" customHeight="1" x14ac:dyDescent="0.2">
      <c r="A505" s="198">
        <v>29</v>
      </c>
      <c r="B505" s="199" t="s">
        <v>500</v>
      </c>
      <c r="C505" s="185" t="s">
        <v>1</v>
      </c>
      <c r="D505" s="186" t="s">
        <v>59</v>
      </c>
      <c r="E505" s="186" t="s">
        <v>59</v>
      </c>
      <c r="F505" s="187" t="s">
        <v>59</v>
      </c>
      <c r="G505" s="187" t="s">
        <v>59</v>
      </c>
      <c r="H505" s="187"/>
      <c r="I505" s="186"/>
      <c r="J505" s="181"/>
      <c r="K505" s="182"/>
      <c r="L505" s="182"/>
      <c r="M505" s="182"/>
      <c r="N505" s="182"/>
      <c r="O505" s="182"/>
      <c r="P505" s="182"/>
      <c r="Q505" s="182"/>
      <c r="R505" s="182"/>
      <c r="S505" s="182"/>
      <c r="T505" s="182"/>
      <c r="U505" s="182"/>
      <c r="V505" s="182"/>
      <c r="W505" s="182"/>
      <c r="X505" s="182"/>
      <c r="Y505" s="182"/>
      <c r="Z505" s="172"/>
      <c r="AB505" s="175" t="str">
        <f t="shared" si="198"/>
        <v>Seedy Jarju</v>
      </c>
    </row>
    <row r="506" spans="1:28" s="113" customFormat="1" ht="10.5" customHeight="1" x14ac:dyDescent="0.2">
      <c r="A506" s="198">
        <v>30</v>
      </c>
      <c r="B506" s="199" t="s">
        <v>501</v>
      </c>
      <c r="C506" s="185" t="s">
        <v>1</v>
      </c>
      <c r="D506" s="186" t="s">
        <v>59</v>
      </c>
      <c r="E506" s="186" t="s">
        <v>59</v>
      </c>
      <c r="F506" s="187" t="s">
        <v>59</v>
      </c>
      <c r="G506" s="187" t="s">
        <v>59</v>
      </c>
      <c r="H506" s="187"/>
      <c r="I506" s="186"/>
      <c r="J506" s="181"/>
      <c r="K506" s="182"/>
      <c r="L506" s="182"/>
      <c r="M506" s="182"/>
      <c r="N506" s="182"/>
      <c r="O506" s="182"/>
      <c r="P506" s="182"/>
      <c r="Q506" s="182"/>
      <c r="R506" s="182"/>
      <c r="S506" s="182"/>
      <c r="T506" s="182"/>
      <c r="U506" s="182"/>
      <c r="V506" s="182"/>
      <c r="W506" s="182"/>
      <c r="X506" s="182"/>
      <c r="Y506" s="182"/>
      <c r="Z506" s="172"/>
      <c r="AB506" s="175" t="str">
        <f t="shared" ref="AB506" si="200">B506</f>
        <v>Norman Theuerkauf</v>
      </c>
    </row>
    <row r="507" spans="1:28" s="113" customFormat="1" ht="10.5" customHeight="1" x14ac:dyDescent="0.2">
      <c r="A507" s="200">
        <v>3</v>
      </c>
      <c r="B507" s="190" t="s">
        <v>502</v>
      </c>
      <c r="C507" s="190" t="s">
        <v>2</v>
      </c>
      <c r="D507" s="191" t="s">
        <v>59</v>
      </c>
      <c r="E507" s="191" t="s">
        <v>59</v>
      </c>
      <c r="F507" s="192" t="s">
        <v>59</v>
      </c>
      <c r="G507" s="192" t="s">
        <v>59</v>
      </c>
      <c r="H507" s="192"/>
      <c r="I507" s="191"/>
      <c r="J507" s="181"/>
      <c r="K507" s="182"/>
      <c r="L507" s="182"/>
      <c r="M507" s="182"/>
      <c r="N507" s="182"/>
      <c r="O507" s="182"/>
      <c r="P507" s="182"/>
      <c r="Q507" s="182"/>
      <c r="R507" s="182"/>
      <c r="S507" s="182"/>
      <c r="T507" s="182"/>
      <c r="U507" s="182"/>
      <c r="V507" s="182"/>
      <c r="W507" s="182"/>
      <c r="X507" s="182"/>
      <c r="Y507" s="182"/>
      <c r="Z507" s="172"/>
      <c r="AB507" s="175" t="str">
        <f t="shared" ref="AB507:AB516" si="201">B507</f>
        <v>Jan Schöppner</v>
      </c>
    </row>
    <row r="508" spans="1:28" s="113" customFormat="1" ht="10.5" customHeight="1" x14ac:dyDescent="0.2">
      <c r="A508" s="200">
        <v>5</v>
      </c>
      <c r="B508" s="190" t="s">
        <v>503</v>
      </c>
      <c r="C508" s="190" t="s">
        <v>2</v>
      </c>
      <c r="D508" s="191" t="s">
        <v>59</v>
      </c>
      <c r="E508" s="191" t="s">
        <v>59</v>
      </c>
      <c r="F508" s="192" t="s">
        <v>59</v>
      </c>
      <c r="G508" s="192" t="s">
        <v>59</v>
      </c>
      <c r="H508" s="192"/>
      <c r="I508" s="191"/>
      <c r="J508" s="181"/>
      <c r="K508" s="182"/>
      <c r="L508" s="182"/>
      <c r="M508" s="182"/>
      <c r="N508" s="182"/>
      <c r="O508" s="182"/>
      <c r="P508" s="182"/>
      <c r="Q508" s="182"/>
      <c r="R508" s="182"/>
      <c r="S508" s="182"/>
      <c r="T508" s="182"/>
      <c r="U508" s="182"/>
      <c r="V508" s="182"/>
      <c r="W508" s="182"/>
      <c r="X508" s="182"/>
      <c r="Y508" s="182"/>
      <c r="Z508" s="172"/>
      <c r="AB508" s="175" t="str">
        <f t="shared" ref="AB508:AB512" si="202">B508</f>
        <v>Benedikt Gimber</v>
      </c>
    </row>
    <row r="509" spans="1:28" s="113" customFormat="1" ht="10.5" customHeight="1" x14ac:dyDescent="0.2">
      <c r="A509" s="200">
        <v>8</v>
      </c>
      <c r="B509" s="190" t="s">
        <v>590</v>
      </c>
      <c r="C509" s="190" t="s">
        <v>2</v>
      </c>
      <c r="D509" s="191" t="s">
        <v>59</v>
      </c>
      <c r="E509" s="191" t="s">
        <v>59</v>
      </c>
      <c r="F509" s="192" t="s">
        <v>59</v>
      </c>
      <c r="G509" s="192" t="s">
        <v>59</v>
      </c>
      <c r="H509" s="192"/>
      <c r="I509" s="191"/>
      <c r="J509" s="181"/>
      <c r="K509" s="182"/>
      <c r="L509" s="182"/>
      <c r="M509" s="182"/>
      <c r="N509" s="182"/>
      <c r="O509" s="182"/>
      <c r="P509" s="182"/>
      <c r="Q509" s="182"/>
      <c r="R509" s="182"/>
      <c r="S509" s="182"/>
      <c r="T509" s="182"/>
      <c r="U509" s="182"/>
      <c r="V509" s="182"/>
      <c r="W509" s="182"/>
      <c r="X509" s="182"/>
      <c r="Y509" s="182"/>
      <c r="Z509" s="172"/>
      <c r="AB509" s="175" t="str">
        <f t="shared" si="202"/>
        <v>Eren Sami Dinkçi</v>
      </c>
    </row>
    <row r="510" spans="1:28" s="113" customFormat="1" ht="10.5" customHeight="1" x14ac:dyDescent="0.2">
      <c r="A510" s="200">
        <v>11</v>
      </c>
      <c r="B510" s="190" t="s">
        <v>504</v>
      </c>
      <c r="C510" s="190" t="s">
        <v>2</v>
      </c>
      <c r="D510" s="191" t="s">
        <v>59</v>
      </c>
      <c r="E510" s="191" t="s">
        <v>59</v>
      </c>
      <c r="F510" s="192" t="s">
        <v>59</v>
      </c>
      <c r="G510" s="192" t="s">
        <v>59</v>
      </c>
      <c r="H510" s="192"/>
      <c r="I510" s="191"/>
      <c r="J510" s="181"/>
      <c r="K510" s="182"/>
      <c r="L510" s="182"/>
      <c r="M510" s="182"/>
      <c r="N510" s="182"/>
      <c r="O510" s="182"/>
      <c r="P510" s="182"/>
      <c r="Q510" s="182"/>
      <c r="R510" s="182"/>
      <c r="S510" s="182"/>
      <c r="T510" s="182"/>
      <c r="U510" s="182"/>
      <c r="V510" s="182"/>
      <c r="W510" s="182"/>
      <c r="X510" s="182"/>
      <c r="Y510" s="182"/>
      <c r="Z510" s="172"/>
      <c r="AB510" s="175" t="str">
        <f t="shared" si="202"/>
        <v>Denis Thomalla</v>
      </c>
    </row>
    <row r="511" spans="1:28" s="113" customFormat="1" ht="10.5" customHeight="1" x14ac:dyDescent="0.2">
      <c r="A511" s="200">
        <v>16</v>
      </c>
      <c r="B511" s="190" t="s">
        <v>505</v>
      </c>
      <c r="C511" s="190" t="s">
        <v>2</v>
      </c>
      <c r="D511" s="191" t="s">
        <v>59</v>
      </c>
      <c r="E511" s="191" t="s">
        <v>59</v>
      </c>
      <c r="F511" s="192" t="s">
        <v>59</v>
      </c>
      <c r="G511" s="192" t="s">
        <v>59</v>
      </c>
      <c r="H511" s="192"/>
      <c r="I511" s="191"/>
      <c r="J511" s="181"/>
      <c r="K511" s="182"/>
      <c r="L511" s="182"/>
      <c r="M511" s="182"/>
      <c r="N511" s="182"/>
      <c r="O511" s="182"/>
      <c r="P511" s="182"/>
      <c r="Q511" s="182"/>
      <c r="R511" s="182"/>
      <c r="S511" s="182"/>
      <c r="T511" s="182"/>
      <c r="U511" s="182"/>
      <c r="V511" s="182"/>
      <c r="W511" s="182"/>
      <c r="X511" s="182"/>
      <c r="Y511" s="182"/>
      <c r="Z511" s="172"/>
      <c r="AB511" s="175" t="str">
        <f t="shared" si="202"/>
        <v>Kevin Sessa</v>
      </c>
    </row>
    <row r="512" spans="1:28" s="113" customFormat="1" ht="10.5" customHeight="1" x14ac:dyDescent="0.2">
      <c r="A512" s="200">
        <v>17</v>
      </c>
      <c r="B512" s="190" t="s">
        <v>506</v>
      </c>
      <c r="C512" s="190" t="s">
        <v>2</v>
      </c>
      <c r="D512" s="191" t="s">
        <v>59</v>
      </c>
      <c r="E512" s="191" t="s">
        <v>59</v>
      </c>
      <c r="F512" s="192" t="s">
        <v>59</v>
      </c>
      <c r="G512" s="192" t="s">
        <v>59</v>
      </c>
      <c r="H512" s="192"/>
      <c r="I512" s="191"/>
      <c r="J512" s="181"/>
      <c r="K512" s="182"/>
      <c r="L512" s="182"/>
      <c r="M512" s="182"/>
      <c r="N512" s="182"/>
      <c r="O512" s="182"/>
      <c r="P512" s="182"/>
      <c r="Q512" s="182"/>
      <c r="R512" s="182"/>
      <c r="S512" s="182"/>
      <c r="T512" s="182"/>
      <c r="U512" s="182"/>
      <c r="V512" s="182"/>
      <c r="W512" s="182"/>
      <c r="X512" s="182"/>
      <c r="Y512" s="182"/>
      <c r="Z512" s="172"/>
      <c r="AB512" s="175" t="str">
        <f t="shared" si="202"/>
        <v>Florian Pick</v>
      </c>
    </row>
    <row r="513" spans="1:28" s="113" customFormat="1" ht="10.5" customHeight="1" x14ac:dyDescent="0.2">
      <c r="A513" s="200">
        <v>21</v>
      </c>
      <c r="B513" s="190" t="s">
        <v>507</v>
      </c>
      <c r="C513" s="190" t="s">
        <v>2</v>
      </c>
      <c r="D513" s="191" t="s">
        <v>59</v>
      </c>
      <c r="E513" s="191" t="s">
        <v>59</v>
      </c>
      <c r="F513" s="192" t="s">
        <v>59</v>
      </c>
      <c r="G513" s="192" t="s">
        <v>59</v>
      </c>
      <c r="H513" s="192"/>
      <c r="I513" s="191"/>
      <c r="J513" s="181"/>
      <c r="K513" s="182"/>
      <c r="L513" s="182"/>
      <c r="M513" s="182"/>
      <c r="N513" s="182"/>
      <c r="O513" s="182"/>
      <c r="P513" s="182"/>
      <c r="Q513" s="182"/>
      <c r="R513" s="182"/>
      <c r="S513" s="182"/>
      <c r="T513" s="182"/>
      <c r="U513" s="182"/>
      <c r="V513" s="182"/>
      <c r="W513" s="182"/>
      <c r="X513" s="182"/>
      <c r="Y513" s="182"/>
      <c r="Z513" s="172"/>
      <c r="AB513" s="175" t="str">
        <f t="shared" ref="AB513" si="203">B513</f>
        <v>Adrian Beck</v>
      </c>
    </row>
    <row r="514" spans="1:28" s="113" customFormat="1" ht="10.5" customHeight="1" x14ac:dyDescent="0.2">
      <c r="A514" s="200">
        <v>33</v>
      </c>
      <c r="B514" s="190" t="s">
        <v>508</v>
      </c>
      <c r="C514" s="190" t="s">
        <v>2</v>
      </c>
      <c r="D514" s="191" t="s">
        <v>59</v>
      </c>
      <c r="E514" s="191" t="s">
        <v>59</v>
      </c>
      <c r="F514" s="192" t="s">
        <v>59</v>
      </c>
      <c r="G514" s="192" t="s">
        <v>59</v>
      </c>
      <c r="H514" s="192"/>
      <c r="I514" s="191"/>
      <c r="J514" s="181"/>
      <c r="K514" s="182"/>
      <c r="L514" s="182"/>
      <c r="M514" s="182"/>
      <c r="N514" s="182"/>
      <c r="O514" s="182"/>
      <c r="P514" s="182"/>
      <c r="Q514" s="182"/>
      <c r="R514" s="182"/>
      <c r="S514" s="182"/>
      <c r="T514" s="182"/>
      <c r="U514" s="182"/>
      <c r="V514" s="182"/>
      <c r="W514" s="182"/>
      <c r="X514" s="182"/>
      <c r="Y514" s="182"/>
      <c r="Z514" s="172"/>
      <c r="AB514" s="175" t="str">
        <f t="shared" si="201"/>
        <v>Lennard Maloney</v>
      </c>
    </row>
    <row r="515" spans="1:28" s="113" customFormat="1" ht="10.5" customHeight="1" x14ac:dyDescent="0.2">
      <c r="A515" s="200">
        <v>36</v>
      </c>
      <c r="B515" s="190" t="s">
        <v>591</v>
      </c>
      <c r="C515" s="190" t="s">
        <v>2</v>
      </c>
      <c r="D515" s="191" t="s">
        <v>59</v>
      </c>
      <c r="E515" s="191" t="s">
        <v>59</v>
      </c>
      <c r="F515" s="192" t="s">
        <v>59</v>
      </c>
      <c r="G515" s="192" t="s">
        <v>59</v>
      </c>
      <c r="H515" s="192"/>
      <c r="I515" s="191"/>
      <c r="J515" s="181"/>
      <c r="K515" s="182"/>
      <c r="L515" s="182"/>
      <c r="M515" s="182"/>
      <c r="N515" s="182"/>
      <c r="O515" s="182"/>
      <c r="P515" s="182"/>
      <c r="Q515" s="182"/>
      <c r="R515" s="182"/>
      <c r="S515" s="182"/>
      <c r="T515" s="182"/>
      <c r="U515" s="182"/>
      <c r="V515" s="182"/>
      <c r="W515" s="182"/>
      <c r="X515" s="182"/>
      <c r="Y515" s="182"/>
      <c r="Z515" s="172"/>
      <c r="AB515" s="175" t="str">
        <f t="shared" ref="AB515" si="204">B515</f>
        <v>Luka Janeš</v>
      </c>
    </row>
    <row r="516" spans="1:28" s="113" customFormat="1" ht="10.5" customHeight="1" x14ac:dyDescent="0.2">
      <c r="A516" s="200">
        <v>37</v>
      </c>
      <c r="B516" s="190" t="s">
        <v>509</v>
      </c>
      <c r="C516" s="190" t="s">
        <v>2</v>
      </c>
      <c r="D516" s="191" t="s">
        <v>59</v>
      </c>
      <c r="E516" s="191" t="s">
        <v>59</v>
      </c>
      <c r="F516" s="192" t="s">
        <v>59</v>
      </c>
      <c r="G516" s="192" t="s">
        <v>59</v>
      </c>
      <c r="H516" s="192"/>
      <c r="I516" s="191"/>
      <c r="J516" s="181"/>
      <c r="K516" s="182"/>
      <c r="L516" s="182"/>
      <c r="M516" s="182"/>
      <c r="N516" s="182"/>
      <c r="O516" s="182"/>
      <c r="P516" s="182"/>
      <c r="Q516" s="182"/>
      <c r="R516" s="182"/>
      <c r="S516" s="182"/>
      <c r="T516" s="182"/>
      <c r="U516" s="182"/>
      <c r="V516" s="182"/>
      <c r="W516" s="182"/>
      <c r="X516" s="182"/>
      <c r="Y516" s="182"/>
      <c r="Z516" s="172"/>
      <c r="AB516" s="175" t="str">
        <f t="shared" si="201"/>
        <v>Jan-Niklas Beste</v>
      </c>
    </row>
    <row r="517" spans="1:28" s="113" customFormat="1" ht="10.5" customHeight="1" x14ac:dyDescent="0.2">
      <c r="A517" s="201">
        <v>9</v>
      </c>
      <c r="B517" s="195" t="s">
        <v>510</v>
      </c>
      <c r="C517" s="195" t="s">
        <v>3</v>
      </c>
      <c r="D517" s="196" t="s">
        <v>59</v>
      </c>
      <c r="E517" s="196" t="s">
        <v>59</v>
      </c>
      <c r="F517" s="197" t="s">
        <v>59</v>
      </c>
      <c r="G517" s="197" t="s">
        <v>59</v>
      </c>
      <c r="H517" s="197"/>
      <c r="I517" s="196"/>
      <c r="J517" s="181"/>
      <c r="K517" s="182"/>
      <c r="L517" s="182"/>
      <c r="M517" s="182"/>
      <c r="N517" s="182"/>
      <c r="O517" s="182"/>
      <c r="P517" s="182"/>
      <c r="Q517" s="182"/>
      <c r="R517" s="182"/>
      <c r="S517" s="182"/>
      <c r="T517" s="182"/>
      <c r="U517" s="182"/>
      <c r="V517" s="182"/>
      <c r="W517" s="182"/>
      <c r="X517" s="182"/>
      <c r="Y517" s="182"/>
      <c r="Z517" s="172"/>
      <c r="AB517" s="175" t="str">
        <f t="shared" ref="AB517" si="205">B517</f>
        <v>Stefan Schimmer</v>
      </c>
    </row>
    <row r="518" spans="1:28" s="113" customFormat="1" ht="10.5" customHeight="1" x14ac:dyDescent="0.2">
      <c r="A518" s="201">
        <v>10</v>
      </c>
      <c r="B518" s="195" t="s">
        <v>511</v>
      </c>
      <c r="C518" s="195" t="s">
        <v>3</v>
      </c>
      <c r="D518" s="196" t="s">
        <v>59</v>
      </c>
      <c r="E518" s="196" t="s">
        <v>59</v>
      </c>
      <c r="F518" s="197" t="s">
        <v>59</v>
      </c>
      <c r="G518" s="197" t="s">
        <v>59</v>
      </c>
      <c r="H518" s="197"/>
      <c r="I518" s="196"/>
      <c r="J518" s="181"/>
      <c r="K518" s="182"/>
      <c r="L518" s="182"/>
      <c r="M518" s="182"/>
      <c r="N518" s="182"/>
      <c r="O518" s="182"/>
      <c r="P518" s="182"/>
      <c r="Q518" s="182"/>
      <c r="R518" s="182"/>
      <c r="S518" s="182"/>
      <c r="T518" s="182"/>
      <c r="U518" s="182"/>
      <c r="V518" s="182"/>
      <c r="W518" s="182"/>
      <c r="X518" s="182"/>
      <c r="Y518" s="182"/>
      <c r="Z518" s="172"/>
      <c r="AB518" s="175" t="str">
        <f t="shared" ref="AB518" si="206">B518</f>
        <v>Tim Kleindienst</v>
      </c>
    </row>
    <row r="519" spans="1:28" s="113" customFormat="1" ht="10.5" customHeight="1" x14ac:dyDescent="0.2">
      <c r="A519" s="201">
        <v>18</v>
      </c>
      <c r="B519" s="195" t="s">
        <v>512</v>
      </c>
      <c r="C519" s="195" t="s">
        <v>3</v>
      </c>
      <c r="D519" s="196" t="s">
        <v>59</v>
      </c>
      <c r="E519" s="196" t="s">
        <v>59</v>
      </c>
      <c r="F519" s="197" t="s">
        <v>59</v>
      </c>
      <c r="G519" s="197" t="s">
        <v>59</v>
      </c>
      <c r="H519" s="197"/>
      <c r="I519" s="196"/>
      <c r="J519" s="181"/>
      <c r="K519" s="182"/>
      <c r="L519" s="182"/>
      <c r="M519" s="182"/>
      <c r="N519" s="182"/>
      <c r="O519" s="182"/>
      <c r="P519" s="182"/>
      <c r="Q519" s="182"/>
      <c r="R519" s="182"/>
      <c r="S519" s="182"/>
      <c r="T519" s="182"/>
      <c r="U519" s="182"/>
      <c r="V519" s="182"/>
      <c r="W519" s="182"/>
      <c r="X519" s="182"/>
      <c r="Y519" s="182"/>
      <c r="Z519" s="172"/>
      <c r="AB519" s="175" t="str">
        <f t="shared" ref="AB519:AB522" si="207">B519</f>
        <v>Marvin Pieringer</v>
      </c>
    </row>
    <row r="520" spans="1:28" s="113" customFormat="1" ht="10.5" customHeight="1" x14ac:dyDescent="0.2">
      <c r="A520" s="201">
        <v>20</v>
      </c>
      <c r="B520" s="195" t="s">
        <v>513</v>
      </c>
      <c r="C520" s="195" t="s">
        <v>3</v>
      </c>
      <c r="D520" s="196" t="s">
        <v>59</v>
      </c>
      <c r="E520" s="196" t="s">
        <v>59</v>
      </c>
      <c r="F520" s="197" t="s">
        <v>59</v>
      </c>
      <c r="G520" s="197" t="s">
        <v>59</v>
      </c>
      <c r="H520" s="197"/>
      <c r="I520" s="196"/>
      <c r="J520" s="181"/>
      <c r="K520" s="182"/>
      <c r="L520" s="182"/>
      <c r="M520" s="182"/>
      <c r="N520" s="182"/>
      <c r="O520" s="182"/>
      <c r="P520" s="182"/>
      <c r="Q520" s="182"/>
      <c r="R520" s="182"/>
      <c r="S520" s="182"/>
      <c r="T520" s="182"/>
      <c r="U520" s="182"/>
      <c r="V520" s="182"/>
      <c r="W520" s="182"/>
      <c r="X520" s="182"/>
      <c r="Y520" s="182"/>
      <c r="Z520" s="172"/>
      <c r="AB520" s="175" t="str">
        <f t="shared" si="207"/>
        <v>Nikola Dovedan (A)</v>
      </c>
    </row>
    <row r="521" spans="1:28" s="113" customFormat="1" ht="10.5" customHeight="1" x14ac:dyDescent="0.2">
      <c r="A521" s="201">
        <v>24</v>
      </c>
      <c r="B521" s="195" t="s">
        <v>514</v>
      </c>
      <c r="C521" s="195" t="s">
        <v>3</v>
      </c>
      <c r="D521" s="196" t="s">
        <v>59</v>
      </c>
      <c r="E521" s="196" t="s">
        <v>59</v>
      </c>
      <c r="F521" s="197" t="s">
        <v>59</v>
      </c>
      <c r="G521" s="197" t="s">
        <v>59</v>
      </c>
      <c r="H521" s="197"/>
      <c r="I521" s="196"/>
      <c r="J521" s="181"/>
      <c r="K521" s="182"/>
      <c r="L521" s="182"/>
      <c r="M521" s="182"/>
      <c r="N521" s="182"/>
      <c r="O521" s="182"/>
      <c r="P521" s="182"/>
      <c r="Q521" s="182"/>
      <c r="R521" s="182"/>
      <c r="S521" s="182"/>
      <c r="T521" s="182"/>
      <c r="U521" s="182"/>
      <c r="V521" s="182"/>
      <c r="W521" s="182"/>
      <c r="X521" s="182"/>
      <c r="Y521" s="182"/>
      <c r="Z521" s="172"/>
      <c r="AB521" s="175" t="str">
        <f t="shared" ref="AB521" si="208">B521</f>
        <v>Christian Kühlwetter</v>
      </c>
    </row>
    <row r="522" spans="1:28" s="113" customFormat="1" ht="10.5" customHeight="1" x14ac:dyDescent="0.2">
      <c r="A522" s="201">
        <v>44</v>
      </c>
      <c r="B522" s="195" t="s">
        <v>515</v>
      </c>
      <c r="C522" s="195" t="s">
        <v>3</v>
      </c>
      <c r="D522" s="196" t="s">
        <v>59</v>
      </c>
      <c r="E522" s="196" t="s">
        <v>59</v>
      </c>
      <c r="F522" s="197" t="s">
        <v>59</v>
      </c>
      <c r="G522" s="197" t="s">
        <v>59</v>
      </c>
      <c r="H522" s="197"/>
      <c r="I522" s="196"/>
      <c r="J522" s="181"/>
      <c r="K522" s="182"/>
      <c r="L522" s="182"/>
      <c r="M522" s="182"/>
      <c r="N522" s="182"/>
      <c r="O522" s="182"/>
      <c r="P522" s="182"/>
      <c r="Q522" s="182"/>
      <c r="R522" s="182"/>
      <c r="S522" s="182"/>
      <c r="T522" s="182"/>
      <c r="U522" s="182"/>
      <c r="V522" s="182"/>
      <c r="W522" s="182"/>
      <c r="X522" s="182"/>
      <c r="Y522" s="182"/>
      <c r="Z522" s="172"/>
      <c r="AB522" s="175" t="str">
        <f t="shared" si="207"/>
        <v>Elidon Qenaj</v>
      </c>
    </row>
    <row r="523" spans="1:28" ht="15" customHeight="1" thickBot="1" x14ac:dyDescent="0.25">
      <c r="A523" s="220" t="s">
        <v>405</v>
      </c>
      <c r="B523" s="220"/>
      <c r="C523" s="220"/>
      <c r="D523" s="220"/>
      <c r="E523" s="220"/>
      <c r="F523" s="220"/>
      <c r="G523" s="220"/>
      <c r="H523" s="220"/>
      <c r="I523" s="220"/>
      <c r="J523" s="10"/>
      <c r="K523" s="176">
        <v>12</v>
      </c>
      <c r="L523" s="176">
        <v>12</v>
      </c>
      <c r="M523" s="176">
        <v>12</v>
      </c>
      <c r="N523" s="176">
        <v>12</v>
      </c>
      <c r="O523" s="176">
        <v>12</v>
      </c>
      <c r="P523" s="176">
        <v>12</v>
      </c>
      <c r="Q523" s="176">
        <v>12</v>
      </c>
      <c r="R523" s="176">
        <v>12</v>
      </c>
      <c r="S523" s="176">
        <v>12</v>
      </c>
      <c r="T523" s="176">
        <v>12</v>
      </c>
      <c r="U523" s="176">
        <v>12</v>
      </c>
      <c r="V523" s="176">
        <v>12</v>
      </c>
      <c r="W523" s="176">
        <v>12</v>
      </c>
      <c r="X523" s="176">
        <v>12</v>
      </c>
      <c r="Y523" s="176">
        <v>12</v>
      </c>
      <c r="Z523" s="217"/>
      <c r="AB523" s="175" t="str">
        <f>A523</f>
        <v>SV Darmstadt 98</v>
      </c>
    </row>
    <row r="524" spans="1:28" s="113" customFormat="1" ht="10.5" customHeight="1" x14ac:dyDescent="0.2">
      <c r="A524" s="177">
        <v>1</v>
      </c>
      <c r="B524" s="178" t="s">
        <v>516</v>
      </c>
      <c r="C524" s="178" t="s">
        <v>0</v>
      </c>
      <c r="D524" s="179" t="s">
        <v>59</v>
      </c>
      <c r="E524" s="179" t="s">
        <v>59</v>
      </c>
      <c r="F524" s="180" t="s">
        <v>59</v>
      </c>
      <c r="G524" s="180" t="s">
        <v>59</v>
      </c>
      <c r="H524" s="180"/>
      <c r="I524" s="179"/>
      <c r="J524" s="181"/>
      <c r="K524" s="182"/>
      <c r="L524" s="182"/>
      <c r="M524" s="182"/>
      <c r="N524" s="182"/>
      <c r="O524" s="182"/>
      <c r="P524" s="182"/>
      <c r="Q524" s="182"/>
      <c r="R524" s="182"/>
      <c r="S524" s="182"/>
      <c r="T524" s="182"/>
      <c r="U524" s="182"/>
      <c r="V524" s="182"/>
      <c r="W524" s="182"/>
      <c r="X524" s="182"/>
      <c r="Y524" s="182"/>
      <c r="Z524" s="172"/>
      <c r="AB524" s="175" t="str">
        <f t="shared" ref="AB524" si="209">B524</f>
        <v>Marcel Schuhen</v>
      </c>
    </row>
    <row r="525" spans="1:28" s="113" customFormat="1" ht="10.5" customHeight="1" x14ac:dyDescent="0.2">
      <c r="A525" s="177">
        <v>13</v>
      </c>
      <c r="B525" s="178" t="s">
        <v>517</v>
      </c>
      <c r="C525" s="178" t="s">
        <v>0</v>
      </c>
      <c r="D525" s="179" t="s">
        <v>59</v>
      </c>
      <c r="E525" s="179" t="s">
        <v>59</v>
      </c>
      <c r="F525" s="180" t="s">
        <v>59</v>
      </c>
      <c r="G525" s="180" t="s">
        <v>59</v>
      </c>
      <c r="H525" s="180"/>
      <c r="I525" s="179"/>
      <c r="J525" s="181"/>
      <c r="K525" s="182"/>
      <c r="L525" s="182"/>
      <c r="M525" s="182"/>
      <c r="N525" s="182"/>
      <c r="O525" s="182"/>
      <c r="P525" s="182"/>
      <c r="Q525" s="182"/>
      <c r="R525" s="182"/>
      <c r="S525" s="182"/>
      <c r="T525" s="182"/>
      <c r="U525" s="182"/>
      <c r="V525" s="182"/>
      <c r="W525" s="182"/>
      <c r="X525" s="182"/>
      <c r="Y525" s="182"/>
      <c r="Z525" s="172"/>
      <c r="AB525" s="175" t="str">
        <f t="shared" ref="AB525:AB526" si="210">B525</f>
        <v>Morten Behrens</v>
      </c>
    </row>
    <row r="526" spans="1:28" s="113" customFormat="1" ht="10.5" customHeight="1" x14ac:dyDescent="0.2">
      <c r="A526" s="177">
        <v>30</v>
      </c>
      <c r="B526" s="178" t="s">
        <v>518</v>
      </c>
      <c r="C526" s="178" t="s">
        <v>0</v>
      </c>
      <c r="D526" s="179" t="s">
        <v>59</v>
      </c>
      <c r="E526" s="179" t="s">
        <v>59</v>
      </c>
      <c r="F526" s="180" t="s">
        <v>59</v>
      </c>
      <c r="G526" s="180" t="s">
        <v>59</v>
      </c>
      <c r="H526" s="180"/>
      <c r="I526" s="179"/>
      <c r="J526" s="181"/>
      <c r="K526" s="182"/>
      <c r="L526" s="182"/>
      <c r="M526" s="182"/>
      <c r="N526" s="182"/>
      <c r="O526" s="182"/>
      <c r="P526" s="182"/>
      <c r="Q526" s="182"/>
      <c r="R526" s="182"/>
      <c r="S526" s="182"/>
      <c r="T526" s="182"/>
      <c r="U526" s="182"/>
      <c r="V526" s="182"/>
      <c r="W526" s="182"/>
      <c r="X526" s="182"/>
      <c r="Y526" s="182"/>
      <c r="Z526" s="172"/>
      <c r="AB526" s="175" t="str">
        <f t="shared" si="210"/>
        <v>Alexander Brunst</v>
      </c>
    </row>
    <row r="527" spans="1:28" s="113" customFormat="1" ht="10.5" customHeight="1" x14ac:dyDescent="0.2">
      <c r="A527" s="177">
        <v>45</v>
      </c>
      <c r="B527" s="178" t="s">
        <v>519</v>
      </c>
      <c r="C527" s="178" t="s">
        <v>0</v>
      </c>
      <c r="D527" s="179" t="s">
        <v>59</v>
      </c>
      <c r="E527" s="179" t="s">
        <v>59</v>
      </c>
      <c r="F527" s="180" t="s">
        <v>59</v>
      </c>
      <c r="G527" s="180" t="s">
        <v>59</v>
      </c>
      <c r="H527" s="180"/>
      <c r="I527" s="179"/>
      <c r="J527" s="181"/>
      <c r="K527" s="182"/>
      <c r="L527" s="182"/>
      <c r="M527" s="182"/>
      <c r="N527" s="182"/>
      <c r="O527" s="182"/>
      <c r="P527" s="182"/>
      <c r="Q527" s="182"/>
      <c r="R527" s="182"/>
      <c r="S527" s="182"/>
      <c r="T527" s="182"/>
      <c r="U527" s="182"/>
      <c r="V527" s="182"/>
      <c r="W527" s="182"/>
      <c r="X527" s="182"/>
      <c r="Y527" s="182"/>
      <c r="Z527" s="172"/>
      <c r="AB527" s="175" t="str">
        <f t="shared" ref="AB527" si="211">B527</f>
        <v>Max Wendt</v>
      </c>
    </row>
    <row r="528" spans="1:28" ht="10.5" customHeight="1" x14ac:dyDescent="0.2">
      <c r="A528" s="198">
        <v>3</v>
      </c>
      <c r="B528" s="199" t="s">
        <v>520</v>
      </c>
      <c r="C528" s="185" t="s">
        <v>1</v>
      </c>
      <c r="D528" s="186" t="s">
        <v>59</v>
      </c>
      <c r="E528" s="186" t="s">
        <v>59</v>
      </c>
      <c r="F528" s="187" t="s">
        <v>59</v>
      </c>
      <c r="G528" s="187" t="s">
        <v>59</v>
      </c>
      <c r="H528" s="187"/>
      <c r="I528" s="186"/>
      <c r="J528" s="181"/>
      <c r="K528" s="182"/>
      <c r="L528" s="182"/>
      <c r="M528" s="182"/>
      <c r="N528" s="182"/>
      <c r="O528" s="182"/>
      <c r="P528" s="182"/>
      <c r="Q528" s="182"/>
      <c r="R528" s="182"/>
      <c r="S528" s="182"/>
      <c r="T528" s="182"/>
      <c r="U528" s="182"/>
      <c r="V528" s="182"/>
      <c r="W528" s="182"/>
      <c r="X528" s="182"/>
      <c r="Y528" s="182"/>
      <c r="AB528" s="175" t="str">
        <f t="shared" ref="AB528:AB529" si="212">B528</f>
        <v>Thomas Isherwood (A)</v>
      </c>
    </row>
    <row r="529" spans="1:28" ht="10.5" customHeight="1" x14ac:dyDescent="0.2">
      <c r="A529" s="198">
        <v>4</v>
      </c>
      <c r="B529" s="199" t="s">
        <v>521</v>
      </c>
      <c r="C529" s="185" t="s">
        <v>1</v>
      </c>
      <c r="D529" s="186" t="s">
        <v>59</v>
      </c>
      <c r="E529" s="186" t="s">
        <v>59</v>
      </c>
      <c r="F529" s="187" t="s">
        <v>59</v>
      </c>
      <c r="G529" s="187" t="s">
        <v>59</v>
      </c>
      <c r="H529" s="187"/>
      <c r="I529" s="186"/>
      <c r="J529" s="181"/>
      <c r="K529" s="182"/>
      <c r="L529" s="182"/>
      <c r="M529" s="182"/>
      <c r="N529" s="182"/>
      <c r="O529" s="182"/>
      <c r="P529" s="182"/>
      <c r="Q529" s="182"/>
      <c r="R529" s="182"/>
      <c r="S529" s="182"/>
      <c r="T529" s="182"/>
      <c r="U529" s="182"/>
      <c r="V529" s="182"/>
      <c r="W529" s="182"/>
      <c r="X529" s="182"/>
      <c r="Y529" s="182"/>
      <c r="AB529" s="175" t="str">
        <f t="shared" si="212"/>
        <v>Christoph Zimmermann</v>
      </c>
    </row>
    <row r="530" spans="1:28" ht="10.5" customHeight="1" x14ac:dyDescent="0.2">
      <c r="A530" s="198">
        <v>5</v>
      </c>
      <c r="B530" s="199" t="s">
        <v>522</v>
      </c>
      <c r="C530" s="185" t="s">
        <v>1</v>
      </c>
      <c r="D530" s="186" t="s">
        <v>59</v>
      </c>
      <c r="E530" s="186" t="s">
        <v>59</v>
      </c>
      <c r="F530" s="187" t="s">
        <v>59</v>
      </c>
      <c r="G530" s="187" t="s">
        <v>59</v>
      </c>
      <c r="H530" s="187"/>
      <c r="I530" s="186"/>
      <c r="J530" s="181"/>
      <c r="K530" s="182"/>
      <c r="L530" s="182"/>
      <c r="M530" s="182"/>
      <c r="N530" s="182"/>
      <c r="O530" s="182"/>
      <c r="P530" s="182"/>
      <c r="Q530" s="182"/>
      <c r="R530" s="182"/>
      <c r="S530" s="182"/>
      <c r="T530" s="182"/>
      <c r="U530" s="182"/>
      <c r="V530" s="182"/>
      <c r="W530" s="182"/>
      <c r="X530" s="182"/>
      <c r="Y530" s="182"/>
      <c r="AB530" s="175" t="str">
        <f t="shared" ref="AB530:AB531" si="213">B530</f>
        <v>Matej Maglica (A)</v>
      </c>
    </row>
    <row r="531" spans="1:28" ht="10.5" customHeight="1" x14ac:dyDescent="0.2">
      <c r="A531" s="198">
        <v>14</v>
      </c>
      <c r="B531" s="199" t="s">
        <v>523</v>
      </c>
      <c r="C531" s="185" t="s">
        <v>1</v>
      </c>
      <c r="D531" s="186" t="s">
        <v>59</v>
      </c>
      <c r="E531" s="186" t="s">
        <v>59</v>
      </c>
      <c r="F531" s="187" t="s">
        <v>59</v>
      </c>
      <c r="G531" s="187" t="s">
        <v>59</v>
      </c>
      <c r="H531" s="187"/>
      <c r="I531" s="186"/>
      <c r="J531" s="181"/>
      <c r="K531" s="182"/>
      <c r="L531" s="182"/>
      <c r="M531" s="182"/>
      <c r="N531" s="182"/>
      <c r="O531" s="182"/>
      <c r="P531" s="182"/>
      <c r="Q531" s="182"/>
      <c r="R531" s="182"/>
      <c r="S531" s="182"/>
      <c r="T531" s="182"/>
      <c r="U531" s="182"/>
      <c r="V531" s="182"/>
      <c r="W531" s="182"/>
      <c r="X531" s="182"/>
      <c r="Y531" s="182"/>
      <c r="AB531" s="175" t="str">
        <f t="shared" si="213"/>
        <v>Christoph Klarer (A)</v>
      </c>
    </row>
    <row r="532" spans="1:28" ht="10.5" customHeight="1" x14ac:dyDescent="0.2">
      <c r="A532" s="198">
        <v>19</v>
      </c>
      <c r="B532" s="199" t="s">
        <v>524</v>
      </c>
      <c r="C532" s="185" t="s">
        <v>1</v>
      </c>
      <c r="D532" s="186" t="s">
        <v>59</v>
      </c>
      <c r="E532" s="186" t="s">
        <v>59</v>
      </c>
      <c r="F532" s="187" t="s">
        <v>59</v>
      </c>
      <c r="G532" s="187" t="s">
        <v>59</v>
      </c>
      <c r="H532" s="187"/>
      <c r="I532" s="186"/>
      <c r="J532" s="181"/>
      <c r="K532" s="182"/>
      <c r="L532" s="182"/>
      <c r="M532" s="182"/>
      <c r="N532" s="182"/>
      <c r="O532" s="182"/>
      <c r="P532" s="182"/>
      <c r="Q532" s="182"/>
      <c r="R532" s="182"/>
      <c r="S532" s="182"/>
      <c r="T532" s="182"/>
      <c r="U532" s="182"/>
      <c r="V532" s="182"/>
      <c r="W532" s="182"/>
      <c r="X532" s="182"/>
      <c r="Y532" s="182"/>
      <c r="AB532" s="175" t="str">
        <f>B532</f>
        <v>Emir Karic (A)</v>
      </c>
    </row>
    <row r="533" spans="1:28" ht="10.5" customHeight="1" x14ac:dyDescent="0.2">
      <c r="A533" s="198">
        <v>20</v>
      </c>
      <c r="B533" s="199" t="s">
        <v>525</v>
      </c>
      <c r="C533" s="185" t="s">
        <v>1</v>
      </c>
      <c r="D533" s="186" t="s">
        <v>59</v>
      </c>
      <c r="E533" s="186" t="s">
        <v>59</v>
      </c>
      <c r="F533" s="187" t="s">
        <v>59</v>
      </c>
      <c r="G533" s="187" t="s">
        <v>59</v>
      </c>
      <c r="H533" s="187"/>
      <c r="I533" s="186"/>
      <c r="J533" s="181"/>
      <c r="K533" s="182"/>
      <c r="L533" s="182"/>
      <c r="M533" s="182"/>
      <c r="N533" s="182"/>
      <c r="O533" s="182"/>
      <c r="P533" s="182"/>
      <c r="Q533" s="182"/>
      <c r="R533" s="182"/>
      <c r="S533" s="182"/>
      <c r="T533" s="182"/>
      <c r="U533" s="182"/>
      <c r="V533" s="182"/>
      <c r="W533" s="182"/>
      <c r="X533" s="182"/>
      <c r="Y533" s="182"/>
      <c r="AB533" s="175" t="str">
        <f>B533</f>
        <v>Jannik Müller</v>
      </c>
    </row>
    <row r="534" spans="1:28" ht="10.5" customHeight="1" x14ac:dyDescent="0.2">
      <c r="A534" s="198">
        <v>26</v>
      </c>
      <c r="B534" s="199" t="s">
        <v>526</v>
      </c>
      <c r="C534" s="185" t="s">
        <v>1</v>
      </c>
      <c r="D534" s="186" t="s">
        <v>59</v>
      </c>
      <c r="E534" s="186" t="s">
        <v>59</v>
      </c>
      <c r="F534" s="187" t="s">
        <v>59</v>
      </c>
      <c r="G534" s="187" t="s">
        <v>59</v>
      </c>
      <c r="H534" s="187"/>
      <c r="I534" s="186"/>
      <c r="J534" s="181"/>
      <c r="K534" s="182"/>
      <c r="L534" s="182"/>
      <c r="M534" s="182"/>
      <c r="N534" s="182"/>
      <c r="O534" s="182"/>
      <c r="P534" s="182"/>
      <c r="Q534" s="182"/>
      <c r="R534" s="182"/>
      <c r="S534" s="182"/>
      <c r="T534" s="182"/>
      <c r="U534" s="182"/>
      <c r="V534" s="182"/>
      <c r="W534" s="182"/>
      <c r="X534" s="182"/>
      <c r="Y534" s="182"/>
      <c r="AB534" s="175" t="str">
        <f t="shared" ref="AB534" si="214">B534</f>
        <v>Matthias Bader</v>
      </c>
    </row>
    <row r="535" spans="1:28" ht="10.5" customHeight="1" x14ac:dyDescent="0.2">
      <c r="A535" s="198">
        <v>32</v>
      </c>
      <c r="B535" s="199" t="s">
        <v>527</v>
      </c>
      <c r="C535" s="185" t="s">
        <v>1</v>
      </c>
      <c r="D535" s="186" t="s">
        <v>59</v>
      </c>
      <c r="E535" s="186" t="s">
        <v>59</v>
      </c>
      <c r="F535" s="187" t="s">
        <v>59</v>
      </c>
      <c r="G535" s="187" t="s">
        <v>59</v>
      </c>
      <c r="H535" s="187"/>
      <c r="I535" s="186"/>
      <c r="J535" s="181"/>
      <c r="K535" s="182"/>
      <c r="L535" s="182"/>
      <c r="M535" s="182"/>
      <c r="N535" s="182"/>
      <c r="O535" s="182"/>
      <c r="P535" s="182"/>
      <c r="Q535" s="182"/>
      <c r="R535" s="182"/>
      <c r="S535" s="182"/>
      <c r="T535" s="182"/>
      <c r="U535" s="182"/>
      <c r="V535" s="182"/>
      <c r="W535" s="182"/>
      <c r="X535" s="182"/>
      <c r="Y535" s="182"/>
      <c r="AB535" s="175" t="str">
        <f>B535</f>
        <v>Fabian Holland</v>
      </c>
    </row>
    <row r="536" spans="1:28" ht="10.5" customHeight="1" x14ac:dyDescent="0.2">
      <c r="A536" s="198">
        <v>38</v>
      </c>
      <c r="B536" s="199" t="s">
        <v>528</v>
      </c>
      <c r="C536" s="185" t="s">
        <v>1</v>
      </c>
      <c r="D536" s="186" t="s">
        <v>59</v>
      </c>
      <c r="E536" s="186" t="s">
        <v>59</v>
      </c>
      <c r="F536" s="187" t="s">
        <v>59</v>
      </c>
      <c r="G536" s="187" t="s">
        <v>59</v>
      </c>
      <c r="H536" s="187"/>
      <c r="I536" s="186"/>
      <c r="J536" s="181"/>
      <c r="K536" s="182"/>
      <c r="L536" s="182"/>
      <c r="M536" s="182"/>
      <c r="N536" s="182"/>
      <c r="O536" s="182"/>
      <c r="P536" s="182"/>
      <c r="Q536" s="182"/>
      <c r="R536" s="182"/>
      <c r="S536" s="182"/>
      <c r="T536" s="182"/>
      <c r="U536" s="182"/>
      <c r="V536" s="182"/>
      <c r="W536" s="182"/>
      <c r="X536" s="182"/>
      <c r="Y536" s="182"/>
      <c r="AB536" s="175" t="str">
        <f t="shared" ref="AB536" si="215">B536</f>
        <v>Clemens Riedel</v>
      </c>
    </row>
    <row r="537" spans="1:28" ht="10.5" customHeight="1" x14ac:dyDescent="0.2">
      <c r="A537" s="200">
        <v>6</v>
      </c>
      <c r="B537" s="190" t="s">
        <v>529</v>
      </c>
      <c r="C537" s="190" t="s">
        <v>2</v>
      </c>
      <c r="D537" s="191" t="s">
        <v>59</v>
      </c>
      <c r="E537" s="191" t="s">
        <v>59</v>
      </c>
      <c r="F537" s="192" t="s">
        <v>59</v>
      </c>
      <c r="G537" s="192" t="s">
        <v>59</v>
      </c>
      <c r="H537" s="192"/>
      <c r="I537" s="191"/>
      <c r="J537" s="181"/>
      <c r="K537" s="182"/>
      <c r="L537" s="182"/>
      <c r="M537" s="182"/>
      <c r="N537" s="182"/>
      <c r="O537" s="182"/>
      <c r="P537" s="182"/>
      <c r="Q537" s="182"/>
      <c r="R537" s="182"/>
      <c r="S537" s="182"/>
      <c r="T537" s="182"/>
      <c r="U537" s="182"/>
      <c r="V537" s="182"/>
      <c r="W537" s="182"/>
      <c r="X537" s="182"/>
      <c r="Y537" s="182"/>
      <c r="AB537" s="175" t="str">
        <f t="shared" ref="AB537:AB540" si="216">B537</f>
        <v>Marvin Mehlem</v>
      </c>
    </row>
    <row r="538" spans="1:28" ht="10.5" customHeight="1" x14ac:dyDescent="0.2">
      <c r="A538" s="200">
        <v>7</v>
      </c>
      <c r="B538" s="190" t="s">
        <v>530</v>
      </c>
      <c r="C538" s="190" t="s">
        <v>2</v>
      </c>
      <c r="D538" s="191" t="s">
        <v>59</v>
      </c>
      <c r="E538" s="191" t="s">
        <v>59</v>
      </c>
      <c r="F538" s="192" t="s">
        <v>59</v>
      </c>
      <c r="G538" s="192" t="s">
        <v>59</v>
      </c>
      <c r="H538" s="192"/>
      <c r="I538" s="191"/>
      <c r="J538" s="181"/>
      <c r="K538" s="182"/>
      <c r="L538" s="182"/>
      <c r="M538" s="182"/>
      <c r="N538" s="182"/>
      <c r="O538" s="182"/>
      <c r="P538" s="182"/>
      <c r="Q538" s="182"/>
      <c r="R538" s="182"/>
      <c r="S538" s="182"/>
      <c r="T538" s="182"/>
      <c r="U538" s="182"/>
      <c r="V538" s="182"/>
      <c r="W538" s="182"/>
      <c r="X538" s="182"/>
      <c r="Y538" s="182"/>
      <c r="AB538" s="175" t="str">
        <f t="shared" si="216"/>
        <v>Braydon Manu (A)</v>
      </c>
    </row>
    <row r="539" spans="1:28" ht="10.5" customHeight="1" x14ac:dyDescent="0.2">
      <c r="A539" s="200">
        <v>8</v>
      </c>
      <c r="B539" s="190" t="s">
        <v>531</v>
      </c>
      <c r="C539" s="190" t="s">
        <v>2</v>
      </c>
      <c r="D539" s="191" t="s">
        <v>59</v>
      </c>
      <c r="E539" s="191" t="s">
        <v>59</v>
      </c>
      <c r="F539" s="192" t="s">
        <v>59</v>
      </c>
      <c r="G539" s="192" t="s">
        <v>59</v>
      </c>
      <c r="H539" s="192"/>
      <c r="I539" s="191"/>
      <c r="J539" s="181"/>
      <c r="K539" s="182"/>
      <c r="L539" s="182"/>
      <c r="M539" s="182"/>
      <c r="N539" s="182"/>
      <c r="O539" s="182"/>
      <c r="P539" s="182"/>
      <c r="Q539" s="182"/>
      <c r="R539" s="182"/>
      <c r="S539" s="182"/>
      <c r="T539" s="182"/>
      <c r="U539" s="182"/>
      <c r="V539" s="182"/>
      <c r="W539" s="182"/>
      <c r="X539" s="182"/>
      <c r="Y539" s="182"/>
      <c r="AB539" s="175" t="str">
        <f t="shared" si="216"/>
        <v>Fabian Schnellhardt</v>
      </c>
    </row>
    <row r="540" spans="1:28" ht="10.5" customHeight="1" x14ac:dyDescent="0.2">
      <c r="A540" s="200">
        <v>11</v>
      </c>
      <c r="B540" s="190" t="s">
        <v>532</v>
      </c>
      <c r="C540" s="190" t="s">
        <v>2</v>
      </c>
      <c r="D540" s="191" t="s">
        <v>59</v>
      </c>
      <c r="E540" s="191" t="s">
        <v>59</v>
      </c>
      <c r="F540" s="192" t="s">
        <v>59</v>
      </c>
      <c r="G540" s="192" t="s">
        <v>59</v>
      </c>
      <c r="H540" s="192"/>
      <c r="I540" s="191"/>
      <c r="J540" s="181"/>
      <c r="K540" s="182"/>
      <c r="L540" s="182"/>
      <c r="M540" s="182"/>
      <c r="N540" s="182"/>
      <c r="O540" s="182"/>
      <c r="P540" s="182"/>
      <c r="Q540" s="182"/>
      <c r="R540" s="182"/>
      <c r="S540" s="182"/>
      <c r="T540" s="182"/>
      <c r="U540" s="182"/>
      <c r="V540" s="182"/>
      <c r="W540" s="182"/>
      <c r="X540" s="182"/>
      <c r="Y540" s="182"/>
      <c r="AB540" s="175" t="str">
        <f t="shared" si="216"/>
        <v>Tobias Kempe</v>
      </c>
    </row>
    <row r="541" spans="1:28" ht="10.5" customHeight="1" x14ac:dyDescent="0.2">
      <c r="A541" s="200">
        <v>15</v>
      </c>
      <c r="B541" s="190" t="s">
        <v>533</v>
      </c>
      <c r="C541" s="190" t="s">
        <v>2</v>
      </c>
      <c r="D541" s="191" t="s">
        <v>59</v>
      </c>
      <c r="E541" s="191" t="s">
        <v>59</v>
      </c>
      <c r="F541" s="192" t="s">
        <v>59</v>
      </c>
      <c r="G541" s="192" t="s">
        <v>59</v>
      </c>
      <c r="H541" s="192"/>
      <c r="I541" s="191"/>
      <c r="J541" s="181"/>
      <c r="K541" s="182"/>
      <c r="L541" s="182"/>
      <c r="M541" s="182"/>
      <c r="N541" s="182"/>
      <c r="O541" s="182"/>
      <c r="P541" s="182"/>
      <c r="Q541" s="182"/>
      <c r="R541" s="182"/>
      <c r="S541" s="182"/>
      <c r="T541" s="182"/>
      <c r="U541" s="182"/>
      <c r="V541" s="182"/>
      <c r="W541" s="182"/>
      <c r="X541" s="182"/>
      <c r="Y541" s="182"/>
      <c r="AB541" s="175" t="str">
        <f t="shared" ref="AB541:AB548" si="217">B541</f>
        <v>Fabian Nürnberger</v>
      </c>
    </row>
    <row r="542" spans="1:28" ht="10.5" customHeight="1" x14ac:dyDescent="0.2">
      <c r="A542" s="200">
        <v>16</v>
      </c>
      <c r="B542" s="190" t="s">
        <v>534</v>
      </c>
      <c r="C542" s="190" t="s">
        <v>2</v>
      </c>
      <c r="D542" s="191" t="s">
        <v>59</v>
      </c>
      <c r="E542" s="191" t="s">
        <v>59</v>
      </c>
      <c r="F542" s="192" t="s">
        <v>59</v>
      </c>
      <c r="G542" s="192" t="s">
        <v>59</v>
      </c>
      <c r="H542" s="192"/>
      <c r="I542" s="191"/>
      <c r="J542" s="181"/>
      <c r="K542" s="182"/>
      <c r="L542" s="182"/>
      <c r="M542" s="182"/>
      <c r="N542" s="182"/>
      <c r="O542" s="182"/>
      <c r="P542" s="182"/>
      <c r="Q542" s="182"/>
      <c r="R542" s="182"/>
      <c r="S542" s="182"/>
      <c r="T542" s="182"/>
      <c r="U542" s="182"/>
      <c r="V542" s="182"/>
      <c r="W542" s="182"/>
      <c r="X542" s="182"/>
      <c r="Y542" s="182"/>
      <c r="AB542" s="175" t="str">
        <f t="shared" ref="AB542:AB543" si="218">B542</f>
        <v>Andreas Müller</v>
      </c>
    </row>
    <row r="543" spans="1:28" ht="10.5" customHeight="1" x14ac:dyDescent="0.2">
      <c r="A543" s="200">
        <v>17</v>
      </c>
      <c r="B543" s="190" t="s">
        <v>461</v>
      </c>
      <c r="C543" s="190" t="s">
        <v>2</v>
      </c>
      <c r="D543" s="191" t="s">
        <v>59</v>
      </c>
      <c r="E543" s="191" t="s">
        <v>59</v>
      </c>
      <c r="F543" s="192" t="s">
        <v>59</v>
      </c>
      <c r="G543" s="192" t="s">
        <v>59</v>
      </c>
      <c r="H543" s="192"/>
      <c r="I543" s="191"/>
      <c r="J543" s="181"/>
      <c r="K543" s="182"/>
      <c r="L543" s="182"/>
      <c r="M543" s="182"/>
      <c r="N543" s="182"/>
      <c r="O543" s="182"/>
      <c r="P543" s="182"/>
      <c r="Q543" s="182"/>
      <c r="R543" s="182"/>
      <c r="S543" s="182"/>
      <c r="T543" s="182"/>
      <c r="U543" s="182"/>
      <c r="V543" s="182"/>
      <c r="W543" s="182"/>
      <c r="X543" s="182"/>
      <c r="Y543" s="182"/>
      <c r="AB543" s="175" t="str">
        <f t="shared" si="218"/>
        <v>Julian Justvan</v>
      </c>
    </row>
    <row r="544" spans="1:28" ht="10.5" customHeight="1" x14ac:dyDescent="0.2">
      <c r="A544" s="200">
        <v>18</v>
      </c>
      <c r="B544" s="190" t="s">
        <v>535</v>
      </c>
      <c r="C544" s="190" t="s">
        <v>2</v>
      </c>
      <c r="D544" s="191" t="s">
        <v>59</v>
      </c>
      <c r="E544" s="191" t="s">
        <v>59</v>
      </c>
      <c r="F544" s="192" t="s">
        <v>59</v>
      </c>
      <c r="G544" s="192" t="s">
        <v>59</v>
      </c>
      <c r="H544" s="192"/>
      <c r="I544" s="191"/>
      <c r="J544" s="181"/>
      <c r="K544" s="182"/>
      <c r="L544" s="182"/>
      <c r="M544" s="182"/>
      <c r="N544" s="182"/>
      <c r="O544" s="182"/>
      <c r="P544" s="182"/>
      <c r="Q544" s="182"/>
      <c r="R544" s="182"/>
      <c r="S544" s="182"/>
      <c r="T544" s="182"/>
      <c r="U544" s="182"/>
      <c r="V544" s="182"/>
      <c r="W544" s="182"/>
      <c r="X544" s="182"/>
      <c r="Y544" s="182"/>
      <c r="AB544" s="175" t="str">
        <f t="shared" si="217"/>
        <v>Mathias Honsak (A)</v>
      </c>
    </row>
    <row r="545" spans="1:28" ht="10.5" customHeight="1" x14ac:dyDescent="0.2">
      <c r="A545" s="200">
        <v>23</v>
      </c>
      <c r="B545" s="190" t="s">
        <v>536</v>
      </c>
      <c r="C545" s="190" t="s">
        <v>2</v>
      </c>
      <c r="D545" s="191" t="s">
        <v>59</v>
      </c>
      <c r="E545" s="191" t="s">
        <v>59</v>
      </c>
      <c r="F545" s="192" t="s">
        <v>59</v>
      </c>
      <c r="G545" s="192" t="s">
        <v>59</v>
      </c>
      <c r="H545" s="192"/>
      <c r="I545" s="191"/>
      <c r="J545" s="181"/>
      <c r="K545" s="182"/>
      <c r="L545" s="182"/>
      <c r="M545" s="182"/>
      <c r="N545" s="182"/>
      <c r="O545" s="182"/>
      <c r="P545" s="182"/>
      <c r="Q545" s="182"/>
      <c r="R545" s="182"/>
      <c r="S545" s="182"/>
      <c r="T545" s="182"/>
      <c r="U545" s="182"/>
      <c r="V545" s="182"/>
      <c r="W545" s="182"/>
      <c r="X545" s="182"/>
      <c r="Y545" s="182"/>
      <c r="AB545" s="175" t="str">
        <f t="shared" ref="AB545" si="219">B545</f>
        <v>Klaus Gjasula (A)</v>
      </c>
    </row>
    <row r="546" spans="1:28" ht="10.5" customHeight="1" x14ac:dyDescent="0.2">
      <c r="A546" s="200">
        <v>28</v>
      </c>
      <c r="B546" s="190" t="s">
        <v>352</v>
      </c>
      <c r="C546" s="190" t="s">
        <v>2</v>
      </c>
      <c r="D546" s="191" t="s">
        <v>59</v>
      </c>
      <c r="E546" s="191" t="s">
        <v>59</v>
      </c>
      <c r="F546" s="192" t="s">
        <v>59</v>
      </c>
      <c r="G546" s="192" t="s">
        <v>59</v>
      </c>
      <c r="H546" s="192"/>
      <c r="I546" s="191"/>
      <c r="J546" s="181"/>
      <c r="K546" s="182"/>
      <c r="L546" s="182"/>
      <c r="M546" s="182"/>
      <c r="N546" s="182"/>
      <c r="O546" s="182"/>
      <c r="P546" s="182"/>
      <c r="Q546" s="182"/>
      <c r="R546" s="182"/>
      <c r="S546" s="182"/>
      <c r="T546" s="182"/>
      <c r="U546" s="182"/>
      <c r="V546" s="182"/>
      <c r="W546" s="182"/>
      <c r="X546" s="182"/>
      <c r="Y546" s="182"/>
      <c r="AB546" s="175" t="str">
        <f t="shared" si="217"/>
        <v>Bartol Franjic (A)</v>
      </c>
    </row>
    <row r="547" spans="1:28" ht="10.5" customHeight="1" x14ac:dyDescent="0.2">
      <c r="A547" s="201">
        <v>9</v>
      </c>
      <c r="B547" s="195" t="s">
        <v>537</v>
      </c>
      <c r="C547" s="195" t="s">
        <v>3</v>
      </c>
      <c r="D547" s="196" t="s">
        <v>59</v>
      </c>
      <c r="E547" s="196" t="s">
        <v>59</v>
      </c>
      <c r="F547" s="197" t="s">
        <v>59</v>
      </c>
      <c r="G547" s="197" t="s">
        <v>59</v>
      </c>
      <c r="H547" s="197"/>
      <c r="I547" s="196"/>
      <c r="J547" s="181"/>
      <c r="K547" s="182"/>
      <c r="L547" s="182"/>
      <c r="M547" s="182"/>
      <c r="N547" s="182"/>
      <c r="O547" s="182"/>
      <c r="P547" s="182"/>
      <c r="Q547" s="182"/>
      <c r="R547" s="182"/>
      <c r="S547" s="182"/>
      <c r="T547" s="182"/>
      <c r="U547" s="182"/>
      <c r="V547" s="182"/>
      <c r="W547" s="182"/>
      <c r="X547" s="182"/>
      <c r="Y547" s="182"/>
      <c r="AB547" s="175" t="str">
        <f t="shared" si="217"/>
        <v>Fraser Hornby (A)</v>
      </c>
    </row>
    <row r="548" spans="1:28" ht="10.5" customHeight="1" x14ac:dyDescent="0.2">
      <c r="A548" s="201">
        <v>22</v>
      </c>
      <c r="B548" s="195" t="s">
        <v>538</v>
      </c>
      <c r="C548" s="195" t="s">
        <v>3</v>
      </c>
      <c r="D548" s="196" t="s">
        <v>59</v>
      </c>
      <c r="E548" s="196" t="s">
        <v>59</v>
      </c>
      <c r="F548" s="197" t="s">
        <v>59</v>
      </c>
      <c r="G548" s="197" t="s">
        <v>59</v>
      </c>
      <c r="H548" s="197"/>
      <c r="I548" s="196"/>
      <c r="J548" s="181"/>
      <c r="K548" s="182"/>
      <c r="L548" s="182"/>
      <c r="M548" s="182"/>
      <c r="N548" s="182"/>
      <c r="O548" s="182"/>
      <c r="P548" s="182"/>
      <c r="Q548" s="182"/>
      <c r="R548" s="182"/>
      <c r="S548" s="182"/>
      <c r="T548" s="182"/>
      <c r="U548" s="182"/>
      <c r="V548" s="182"/>
      <c r="W548" s="182"/>
      <c r="X548" s="182"/>
      <c r="Y548" s="182"/>
      <c r="AB548" s="175" t="str">
        <f t="shared" si="217"/>
        <v>Aaron Seydel</v>
      </c>
    </row>
    <row r="549" spans="1:28" ht="10.5" customHeight="1" x14ac:dyDescent="0.2">
      <c r="A549" s="201">
        <v>24</v>
      </c>
      <c r="B549" s="195" t="s">
        <v>557</v>
      </c>
      <c r="C549" s="195" t="s">
        <v>3</v>
      </c>
      <c r="D549" s="196" t="s">
        <v>59</v>
      </c>
      <c r="E549" s="196" t="s">
        <v>59</v>
      </c>
      <c r="F549" s="197" t="s">
        <v>59</v>
      </c>
      <c r="G549" s="197" t="s">
        <v>59</v>
      </c>
      <c r="H549" s="197"/>
      <c r="I549" s="196"/>
      <c r="J549" s="181"/>
      <c r="K549" s="182"/>
      <c r="L549" s="182"/>
      <c r="M549" s="182"/>
      <c r="N549" s="182"/>
      <c r="O549" s="182"/>
      <c r="P549" s="182"/>
      <c r="Q549" s="182"/>
      <c r="R549" s="182"/>
      <c r="S549" s="182"/>
      <c r="T549" s="182"/>
      <c r="U549" s="182"/>
      <c r="V549" s="182"/>
      <c r="W549" s="182"/>
      <c r="X549" s="182"/>
      <c r="Y549" s="182"/>
      <c r="AB549" s="175" t="str">
        <f t="shared" ref="AB549:AB554" si="220">B549</f>
        <v>Luca Pfeiffer</v>
      </c>
    </row>
    <row r="550" spans="1:28" ht="10.5" customHeight="1" x14ac:dyDescent="0.2">
      <c r="A550" s="201">
        <v>25</v>
      </c>
      <c r="B550" s="195" t="s">
        <v>650</v>
      </c>
      <c r="C550" s="195" t="s">
        <v>3</v>
      </c>
      <c r="D550" s="196" t="s">
        <v>59</v>
      </c>
      <c r="E550" s="196" t="s">
        <v>59</v>
      </c>
      <c r="F550" s="197" t="s">
        <v>59</v>
      </c>
      <c r="G550" s="197" t="s">
        <v>59</v>
      </c>
      <c r="H550" s="197"/>
      <c r="I550" s="196"/>
      <c r="J550" s="181"/>
      <c r="K550" s="182"/>
      <c r="L550" s="182"/>
      <c r="M550" s="182"/>
      <c r="N550" s="182"/>
      <c r="O550" s="182"/>
      <c r="P550" s="182"/>
      <c r="Q550" s="182"/>
      <c r="R550" s="182"/>
      <c r="S550" s="182"/>
      <c r="T550" s="182"/>
      <c r="U550" s="182"/>
      <c r="V550" s="182"/>
      <c r="W550" s="182"/>
      <c r="X550" s="182"/>
      <c r="Y550" s="182"/>
      <c r="AB550" s="175" t="str">
        <f t="shared" si="220"/>
        <v>Gerrit Holtmann</v>
      </c>
    </row>
    <row r="551" spans="1:28" ht="10.5" customHeight="1" x14ac:dyDescent="0.2">
      <c r="A551" s="201">
        <v>27</v>
      </c>
      <c r="B551" s="195" t="s">
        <v>334</v>
      </c>
      <c r="C551" s="195" t="s">
        <v>3</v>
      </c>
      <c r="D551" s="196" t="s">
        <v>59</v>
      </c>
      <c r="E551" s="196" t="s">
        <v>59</v>
      </c>
      <c r="F551" s="197" t="s">
        <v>59</v>
      </c>
      <c r="G551" s="197" t="s">
        <v>59</v>
      </c>
      <c r="H551" s="197"/>
      <c r="I551" s="196"/>
      <c r="J551" s="181"/>
      <c r="K551" s="182"/>
      <c r="L551" s="182"/>
      <c r="M551" s="182"/>
      <c r="N551" s="182"/>
      <c r="O551" s="182"/>
      <c r="P551" s="182"/>
      <c r="Q551" s="182"/>
      <c r="R551" s="182"/>
      <c r="S551" s="182"/>
      <c r="T551" s="182"/>
      <c r="U551" s="182"/>
      <c r="V551" s="182"/>
      <c r="W551" s="182"/>
      <c r="X551" s="182"/>
      <c r="Y551" s="182"/>
      <c r="AB551" s="175" t="str">
        <f t="shared" ref="AB551" si="221">B551</f>
        <v>Tim Skarke</v>
      </c>
    </row>
    <row r="552" spans="1:28" ht="10.5" customHeight="1" x14ac:dyDescent="0.2">
      <c r="A552" s="201">
        <v>29</v>
      </c>
      <c r="B552" s="195" t="s">
        <v>539</v>
      </c>
      <c r="C552" s="195" t="s">
        <v>3</v>
      </c>
      <c r="D552" s="196" t="s">
        <v>59</v>
      </c>
      <c r="E552" s="196" t="s">
        <v>59</v>
      </c>
      <c r="F552" s="197" t="s">
        <v>59</v>
      </c>
      <c r="G552" s="197" t="s">
        <v>59</v>
      </c>
      <c r="H552" s="197"/>
      <c r="I552" s="196"/>
      <c r="J552" s="181"/>
      <c r="K552" s="182"/>
      <c r="L552" s="182"/>
      <c r="M552" s="182"/>
      <c r="N552" s="182"/>
      <c r="O552" s="182"/>
      <c r="P552" s="182"/>
      <c r="Q552" s="182"/>
      <c r="R552" s="182"/>
      <c r="S552" s="182"/>
      <c r="T552" s="182"/>
      <c r="U552" s="182"/>
      <c r="V552" s="182"/>
      <c r="W552" s="182"/>
      <c r="X552" s="182"/>
      <c r="Y552" s="182"/>
      <c r="AB552" s="175" t="str">
        <f t="shared" si="220"/>
        <v>Oscar Vilhelmsson (A)</v>
      </c>
    </row>
    <row r="553" spans="1:28" ht="10.5" customHeight="1" x14ac:dyDescent="0.2">
      <c r="A553" s="201">
        <v>40</v>
      </c>
      <c r="B553" s="195" t="s">
        <v>673</v>
      </c>
      <c r="C553" s="195" t="s">
        <v>3</v>
      </c>
      <c r="D553" s="196" t="s">
        <v>59</v>
      </c>
      <c r="E553" s="196" t="s">
        <v>59</v>
      </c>
      <c r="F553" s="197" t="s">
        <v>59</v>
      </c>
      <c r="G553" s="197" t="s">
        <v>59</v>
      </c>
      <c r="H553" s="197"/>
      <c r="I553" s="196"/>
      <c r="J553" s="181"/>
      <c r="K553" s="182"/>
      <c r="L553" s="182"/>
      <c r="M553" s="182"/>
      <c r="N553" s="182"/>
      <c r="O553" s="182"/>
      <c r="P553" s="182"/>
      <c r="Q553" s="182"/>
      <c r="R553" s="182"/>
      <c r="S553" s="182"/>
      <c r="T553" s="182"/>
      <c r="U553" s="182"/>
      <c r="V553" s="182"/>
      <c r="W553" s="182"/>
      <c r="X553" s="182"/>
      <c r="Y553" s="182"/>
      <c r="AB553" s="175" t="str">
        <f t="shared" ref="AB553" si="222">B553</f>
        <v>Sebastian Polter</v>
      </c>
    </row>
    <row r="554" spans="1:28" ht="10.5" customHeight="1" x14ac:dyDescent="0.2">
      <c r="A554" s="201">
        <v>42</v>
      </c>
      <c r="B554" s="195" t="s">
        <v>540</v>
      </c>
      <c r="C554" s="195" t="s">
        <v>3</v>
      </c>
      <c r="D554" s="196" t="s">
        <v>59</v>
      </c>
      <c r="E554" s="196" t="s">
        <v>59</v>
      </c>
      <c r="F554" s="197" t="s">
        <v>59</v>
      </c>
      <c r="G554" s="197" t="s">
        <v>59</v>
      </c>
      <c r="H554" s="197"/>
      <c r="I554" s="196"/>
      <c r="J554" s="181"/>
      <c r="K554" s="182"/>
      <c r="L554" s="182"/>
      <c r="M554" s="182"/>
      <c r="N554" s="182"/>
      <c r="O554" s="182"/>
      <c r="P554" s="182"/>
      <c r="Q554" s="182"/>
      <c r="R554" s="182"/>
      <c r="S554" s="182"/>
      <c r="T554" s="182"/>
      <c r="U554" s="182"/>
      <c r="V554" s="182"/>
      <c r="W554" s="182"/>
      <c r="X554" s="182"/>
      <c r="Y554" s="182"/>
      <c r="AB554" s="175" t="str">
        <f t="shared" si="220"/>
        <v>Fabio Torsiello</v>
      </c>
    </row>
  </sheetData>
  <autoFilter ref="K1:AB554" xr:uid="{00000000-0009-0000-0000-000001000000}"/>
  <mergeCells count="18">
    <mergeCell ref="A461:I461"/>
    <mergeCell ref="A315:I315"/>
    <mergeCell ref="A494:I494"/>
    <mergeCell ref="A523:I523"/>
    <mergeCell ref="A432:I432"/>
    <mergeCell ref="A402:I402"/>
    <mergeCell ref="A2:I2"/>
    <mergeCell ref="A225:I225"/>
    <mergeCell ref="A284:I284"/>
    <mergeCell ref="A35:I35"/>
    <mergeCell ref="A373:I373"/>
    <mergeCell ref="A70:I70"/>
    <mergeCell ref="A346:I346"/>
    <mergeCell ref="A158:I158"/>
    <mergeCell ref="A97:I97"/>
    <mergeCell ref="A124:I124"/>
    <mergeCell ref="A253:I253"/>
    <mergeCell ref="A188:I188"/>
  </mergeCells>
  <phoneticPr fontId="0" type="noConversion"/>
  <conditionalFormatting sqref="B1:B1048576">
    <cfRule type="duplicateValues" dxfId="81" priority="120835"/>
  </conditionalFormatting>
  <conditionalFormatting sqref="B3:B7">
    <cfRule type="duplicateValues" dxfId="80" priority="111389"/>
  </conditionalFormatting>
  <conditionalFormatting sqref="B8:B18">
    <cfRule type="duplicateValues" dxfId="79" priority="138872"/>
  </conditionalFormatting>
  <conditionalFormatting sqref="B19:B26">
    <cfRule type="duplicateValues" dxfId="78" priority="138368"/>
  </conditionalFormatting>
  <conditionalFormatting sqref="B27:B34">
    <cfRule type="duplicateValues" dxfId="77" priority="132318"/>
  </conditionalFormatting>
  <conditionalFormatting sqref="B36:B39">
    <cfRule type="duplicateValues" dxfId="76" priority="112863"/>
  </conditionalFormatting>
  <conditionalFormatting sqref="B40:B50">
    <cfRule type="duplicateValues" dxfId="75" priority="139050"/>
  </conditionalFormatting>
  <conditionalFormatting sqref="B51:B61">
    <cfRule type="duplicateValues" dxfId="74" priority="135029"/>
  </conditionalFormatting>
  <conditionalFormatting sqref="B62:B69">
    <cfRule type="duplicateValues" dxfId="73" priority="1300"/>
  </conditionalFormatting>
  <conditionalFormatting sqref="B71:B74">
    <cfRule type="duplicateValues" dxfId="72" priority="114682"/>
  </conditionalFormatting>
  <conditionalFormatting sqref="B75:B83">
    <cfRule type="duplicateValues" dxfId="71" priority="114829"/>
  </conditionalFormatting>
  <conditionalFormatting sqref="B84:B92">
    <cfRule type="duplicateValues" dxfId="70" priority="136152"/>
  </conditionalFormatting>
  <conditionalFormatting sqref="B93:B96">
    <cfRule type="duplicateValues" dxfId="69" priority="136604"/>
  </conditionalFormatting>
  <conditionalFormatting sqref="B102:B111">
    <cfRule type="duplicateValues" dxfId="68" priority="131626"/>
  </conditionalFormatting>
  <conditionalFormatting sqref="B112:B118">
    <cfRule type="duplicateValues" dxfId="67" priority="137593"/>
  </conditionalFormatting>
  <conditionalFormatting sqref="B119:B123">
    <cfRule type="duplicateValues" dxfId="66" priority="136740"/>
  </conditionalFormatting>
  <conditionalFormatting sqref="B140:B152">
    <cfRule type="duplicateValues" dxfId="65" priority="116680"/>
  </conditionalFormatting>
  <conditionalFormatting sqref="B160:B161">
    <cfRule type="duplicateValues" dxfId="64" priority="127582"/>
  </conditionalFormatting>
  <conditionalFormatting sqref="B162:B172">
    <cfRule type="duplicateValues" dxfId="63" priority="117029"/>
  </conditionalFormatting>
  <conditionalFormatting sqref="B173:B180">
    <cfRule type="duplicateValues" dxfId="62" priority="138452"/>
  </conditionalFormatting>
  <conditionalFormatting sqref="B181:B246 B1:B172 B253:B388 B397:B516 B523:B1048576">
    <cfRule type="duplicateValues" dxfId="61" priority="120823"/>
  </conditionalFormatting>
  <conditionalFormatting sqref="B206:B217">
    <cfRule type="duplicateValues" dxfId="60" priority="138548"/>
  </conditionalFormatting>
  <conditionalFormatting sqref="B218:B224">
    <cfRule type="duplicateValues" dxfId="59" priority="138642"/>
  </conditionalFormatting>
  <conditionalFormatting sqref="B229:B235">
    <cfRule type="duplicateValues" dxfId="58" priority="138820"/>
  </conditionalFormatting>
  <conditionalFormatting sqref="B236:B246">
    <cfRule type="duplicateValues" dxfId="57" priority="133640"/>
  </conditionalFormatting>
  <conditionalFormatting sqref="B247:B252">
    <cfRule type="duplicateValues" dxfId="56" priority="119642"/>
  </conditionalFormatting>
  <conditionalFormatting sqref="B254:B256">
    <cfRule type="duplicateValues" dxfId="55" priority="83125"/>
  </conditionalFormatting>
  <conditionalFormatting sqref="B257:B266">
    <cfRule type="duplicateValues" dxfId="54" priority="127068"/>
  </conditionalFormatting>
  <conditionalFormatting sqref="B276:B283">
    <cfRule type="duplicateValues" dxfId="53" priority="130062"/>
  </conditionalFormatting>
  <conditionalFormatting sqref="B285:B289">
    <cfRule type="duplicateValues" dxfId="52" priority="1154"/>
    <cfRule type="duplicateValues" dxfId="51" priority="1155"/>
    <cfRule type="duplicateValues" dxfId="50" priority="1156"/>
    <cfRule type="duplicateValues" dxfId="49" priority="1157"/>
    <cfRule type="duplicateValues" dxfId="48" priority="1158"/>
    <cfRule type="duplicateValues" dxfId="47" priority="1159"/>
    <cfRule type="duplicateValues" dxfId="46" priority="1160"/>
    <cfRule type="duplicateValues" dxfId="45" priority="1161"/>
    <cfRule type="duplicateValues" dxfId="44" priority="1162"/>
  </conditionalFormatting>
  <conditionalFormatting sqref="B290:B300">
    <cfRule type="duplicateValues" dxfId="43" priority="121650"/>
  </conditionalFormatting>
  <conditionalFormatting sqref="B329:B337">
    <cfRule type="duplicateValues" dxfId="42" priority="137757"/>
  </conditionalFormatting>
  <conditionalFormatting sqref="B338:B345">
    <cfRule type="duplicateValues" dxfId="41" priority="122806"/>
  </conditionalFormatting>
  <conditionalFormatting sqref="B348:B349">
    <cfRule type="duplicateValues" dxfId="40" priority="123131"/>
  </conditionalFormatting>
  <conditionalFormatting sqref="B350:B356">
    <cfRule type="duplicateValues" dxfId="39" priority="138135"/>
  </conditionalFormatting>
  <conditionalFormatting sqref="B366:B372">
    <cfRule type="duplicateValues" dxfId="38" priority="133766"/>
  </conditionalFormatting>
  <conditionalFormatting sqref="B374:B377">
    <cfRule type="duplicateValues" dxfId="37" priority="123638"/>
  </conditionalFormatting>
  <conditionalFormatting sqref="B378:B388">
    <cfRule type="duplicateValues" dxfId="36" priority="123771"/>
  </conditionalFormatting>
  <conditionalFormatting sqref="B389:B396">
    <cfRule type="duplicateValues" dxfId="35" priority="137850"/>
  </conditionalFormatting>
  <conditionalFormatting sqref="B397:B401">
    <cfRule type="duplicateValues" dxfId="34" priority="134205"/>
  </conditionalFormatting>
  <conditionalFormatting sqref="B403:B406">
    <cfRule type="duplicateValues" dxfId="33" priority="860"/>
    <cfRule type="duplicateValues" dxfId="32" priority="861"/>
    <cfRule type="duplicateValues" dxfId="31" priority="862"/>
    <cfRule type="duplicateValues" dxfId="30" priority="863"/>
    <cfRule type="duplicateValues" dxfId="29" priority="864"/>
    <cfRule type="duplicateValues" dxfId="28" priority="865"/>
    <cfRule type="duplicateValues" dxfId="27" priority="866"/>
    <cfRule type="duplicateValues" dxfId="26" priority="867"/>
  </conditionalFormatting>
  <conditionalFormatting sqref="B407:B418">
    <cfRule type="duplicateValues" dxfId="25" priority="134341"/>
  </conditionalFormatting>
  <conditionalFormatting sqref="B419:B426">
    <cfRule type="duplicateValues" dxfId="24" priority="137902"/>
  </conditionalFormatting>
  <conditionalFormatting sqref="B427:B431">
    <cfRule type="duplicateValues" dxfId="23" priority="126722"/>
  </conditionalFormatting>
  <conditionalFormatting sqref="B433:B435">
    <cfRule type="duplicateValues" dxfId="22" priority="124436"/>
  </conditionalFormatting>
  <conditionalFormatting sqref="B436:B445">
    <cfRule type="duplicateValues" dxfId="21" priority="138316"/>
  </conditionalFormatting>
  <conditionalFormatting sqref="B446:B456">
    <cfRule type="duplicateValues" dxfId="20" priority="131270"/>
  </conditionalFormatting>
  <conditionalFormatting sqref="B462:B465">
    <cfRule type="duplicateValues" dxfId="19" priority="44394"/>
  </conditionalFormatting>
  <conditionalFormatting sqref="B466:B474">
    <cfRule type="duplicateValues" dxfId="18" priority="134477"/>
  </conditionalFormatting>
  <conditionalFormatting sqref="B475:B488">
    <cfRule type="duplicateValues" dxfId="17" priority="130576"/>
  </conditionalFormatting>
  <conditionalFormatting sqref="B489:B493">
    <cfRule type="duplicateValues" dxfId="16" priority="135792"/>
  </conditionalFormatting>
  <conditionalFormatting sqref="B495:B498">
    <cfRule type="duplicateValues" dxfId="15" priority="81"/>
  </conditionalFormatting>
  <conditionalFormatting sqref="B499:B506">
    <cfRule type="duplicateValues" dxfId="14" priority="125498"/>
  </conditionalFormatting>
  <conditionalFormatting sqref="B507:B516">
    <cfRule type="duplicateValues" dxfId="13" priority="134749"/>
  </conditionalFormatting>
  <conditionalFormatting sqref="B517:B522">
    <cfRule type="duplicateValues" dxfId="12" priority="125674"/>
  </conditionalFormatting>
  <conditionalFormatting sqref="B523:B1048576 B1:B516">
    <cfRule type="duplicateValues" dxfId="11" priority="122999"/>
  </conditionalFormatting>
  <conditionalFormatting sqref="B524:B527">
    <cfRule type="duplicateValues" dxfId="10" priority="79"/>
  </conditionalFormatting>
  <conditionalFormatting sqref="B547:B554">
    <cfRule type="duplicateValues" dxfId="9" priority="135974"/>
  </conditionalFormatting>
  <conditionalFormatting sqref="B555:B1048576 B494 B373 B346:B347 B1:B2 B284 B432 B35 B523 B253 B402 B225:B228 B70:B74 B97:B101 B357:B365 B436:B445 B457:B461 B528:B546 B301:B328 B124:B159 B181:B205 B267:B275">
    <cfRule type="duplicateValues" dxfId="8" priority="39765"/>
  </conditionalFormatting>
  <conditionalFormatting sqref="B555:B1048576 B494 B373 B346:B347 B1:B2 B284 B432 B35 B523 B253 B402 B225:B228 B70:B74 B97:B101 B357:B365 B436:B445 B457:B461 B528:B546 B301:B328 B124:B159 B181:B217 B267:B275">
    <cfRule type="duplicateValues" dxfId="7" priority="133133"/>
  </conditionalFormatting>
  <conditionalFormatting sqref="B555:B1048576 B494 B373 B346:B347 B1:B2 B432 B284 B523 B253 B35 B402 B225:B228 B70:B74 B97:B101 B357:B365 B436:B445 B457:B461 B528:B546 B301:B328 B124:B159 B181:B217 B267:B275">
    <cfRule type="duplicateValues" dxfId="6" priority="133156"/>
  </conditionalFormatting>
  <conditionalFormatting sqref="B555:B1048576 B494 B373 B346:B347 B253 B1:B2 B523 B35 B284 B432 B402 B225:B228 B70:B74 B97:B101 B357:B365 B153:B159 B457:B461 B528:B546 B124:B139 B301:B328 B181:B205 B267:B275">
    <cfRule type="duplicateValues" dxfId="5" priority="137594"/>
  </conditionalFormatting>
  <conditionalFormatting sqref="B555:B1048576 B494 B373 B346:B347 B253 B523 B1:B2 B35 B284 B432 B402 B225:B228 B70:B74 B97:B101 B357:B365 B153:B159 B457:B461 B528:B546 B124:B139 B301:B328 B181:B205 B267:B275">
    <cfRule type="duplicateValues" dxfId="4" priority="137640"/>
  </conditionalFormatting>
  <conditionalFormatting sqref="B555:B1048576 B494 B373 B346:B347 B284 B1:B2 B35 B432 B523 B253 B402 B225:B228 B70:B74 B97:B101 B357:B365 B153:B159 B457:B461 B528:B546 B124:B139 B301:B328 B181:B205 B267:B275">
    <cfRule type="duplicateValues" dxfId="3" priority="137617"/>
  </conditionalFormatting>
  <conditionalFormatting sqref="B555:B1048576 B494 B373 B346:B347 B284 B1:B2 B35 B432 B523 B253 B402 B225:B228 B70:B74 B97:B101 B357:B365 B457:B461 B528:B546 B301:B328 B124:B159 B181:B205 B267:B275">
    <cfRule type="duplicateValues" dxfId="2" priority="39503"/>
  </conditionalFormatting>
  <conditionalFormatting sqref="B555:B1048576 B494 B373 B346:B347 B284 B253 B523 B1:B2 B35 B432 B402 B225:B228 B70:B74 B97:B101 B357:B365 B153:B159 B457:B461 B528:B546 B124:B139 B301:B328 B181:B205 B267:B275">
    <cfRule type="duplicateValues" dxfId="1" priority="137663"/>
  </conditionalFormatting>
  <conditionalFormatting sqref="B555:B1048576">
    <cfRule type="duplicateValues" dxfId="0" priority="15945"/>
  </conditionalFormatting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 xml:space="preserve">&amp;L&amp;D&amp;C&amp;"Tahoma,Fett"&amp;18Bundesliga 2023/2024&amp;R&amp;"Sparkasse Rg,Fett"&amp;12 &amp;F&amp;"Arial,Standard"&amp;10
</oddHeader>
  </headerFooter>
  <rowBreaks count="8" manualBreakCount="8">
    <brk id="34" min="1" max="8" man="1"/>
    <brk id="1" min="1" max="8" man="1"/>
    <brk id="157" min="1" max="8" man="1"/>
    <brk id="69" min="1" max="8" man="1"/>
    <brk id="401" min="1" max="8" man="1"/>
    <brk id="314" min="1" max="8" man="1"/>
    <brk id="493" min="1" max="8" man="1"/>
    <brk id="187" min="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W953"/>
  <sheetViews>
    <sheetView showGridLines="0" tabSelected="1" zoomScaleNormal="100" workbookViewId="0">
      <pane xSplit="23" ySplit="14" topLeftCell="X48" activePane="bottomRight" state="frozen"/>
      <selection activeCell="M39" sqref="M39"/>
      <selection pane="topRight" activeCell="M39" sqref="M39"/>
      <selection pane="bottomLeft" activeCell="M39" sqref="M39"/>
      <selection pane="bottomRight" activeCell="G93" sqref="G93"/>
    </sheetView>
  </sheetViews>
  <sheetFormatPr baseColWidth="10" defaultColWidth="11.42578125" defaultRowHeight="10.5" customHeight="1" x14ac:dyDescent="0.2"/>
  <cols>
    <col min="1" max="1" width="10.85546875" style="18" hidden="1" customWidth="1"/>
    <col min="2" max="3" width="3.85546875" style="19" customWidth="1"/>
    <col min="4" max="4" width="20.28515625" style="22" customWidth="1"/>
    <col min="5" max="5" width="14.28515625" style="11" customWidth="1"/>
    <col min="6" max="6" width="14.28515625" style="11" hidden="1" customWidth="1"/>
    <col min="7" max="7" width="4.7109375" style="11" customWidth="1"/>
    <col min="8" max="15" width="4.7109375" style="20" customWidth="1"/>
    <col min="16" max="22" width="5.28515625" style="20" customWidth="1"/>
    <col min="23" max="23" width="5.28515625" style="11" customWidth="1"/>
    <col min="24" max="16384" width="11.42578125" style="11"/>
  </cols>
  <sheetData>
    <row r="1" spans="1:23" ht="13.5" x14ac:dyDescent="0.2">
      <c r="A1" s="129"/>
      <c r="D1" s="130" t="str">
        <f>'[1]34. Spieltag'!A5</f>
        <v>Hoffenheim</v>
      </c>
      <c r="E1" s="131" t="str">
        <f>'[1]34. Spieltag'!B5</f>
        <v>München</v>
      </c>
      <c r="F1" s="131"/>
      <c r="G1" s="131"/>
      <c r="H1" s="131"/>
      <c r="I1" s="132">
        <v>4</v>
      </c>
      <c r="J1" s="133">
        <v>2</v>
      </c>
      <c r="K1" s="128"/>
      <c r="L1" s="209"/>
      <c r="M1" s="210"/>
      <c r="N1" s="210"/>
      <c r="O1" s="210"/>
      <c r="P1" s="210" t="s">
        <v>19</v>
      </c>
      <c r="Q1" s="211" t="s">
        <v>18</v>
      </c>
      <c r="R1" s="210"/>
      <c r="S1" s="210"/>
      <c r="T1" s="210"/>
      <c r="U1" s="210"/>
      <c r="V1" s="210" t="s">
        <v>19</v>
      </c>
      <c r="W1" s="210" t="s">
        <v>18</v>
      </c>
    </row>
    <row r="2" spans="1:23" ht="13.5" x14ac:dyDescent="0.2">
      <c r="A2" s="134">
        <v>1</v>
      </c>
      <c r="B2" s="135"/>
      <c r="C2" s="135"/>
      <c r="D2" s="136" t="str">
        <f>'[1]34. Spieltag'!A6</f>
        <v>Frankfurt</v>
      </c>
      <c r="E2" s="137" t="str">
        <f>'[1]34. Spieltag'!B6</f>
        <v>Leipzig</v>
      </c>
      <c r="F2" s="137"/>
      <c r="G2" s="137"/>
      <c r="H2" s="137"/>
      <c r="I2" s="138">
        <v>2</v>
      </c>
      <c r="J2" s="139">
        <v>2</v>
      </c>
      <c r="K2" s="128"/>
      <c r="L2" s="210"/>
      <c r="M2" s="210"/>
      <c r="N2" s="210"/>
      <c r="O2" s="210"/>
      <c r="P2" s="210"/>
      <c r="Q2" s="211"/>
      <c r="R2" s="210"/>
      <c r="S2" s="210"/>
      <c r="T2" s="210"/>
      <c r="U2" s="210"/>
      <c r="V2" s="212"/>
      <c r="W2" s="212"/>
    </row>
    <row r="3" spans="1:23" ht="13.5" x14ac:dyDescent="0.2">
      <c r="D3" s="136" t="str">
        <f>'[1]34. Spieltag'!A7</f>
        <v>Union Berlin</v>
      </c>
      <c r="E3" s="137" t="str">
        <f>'[1]34. Spieltag'!B7</f>
        <v>Freiburg</v>
      </c>
      <c r="F3" s="137"/>
      <c r="G3" s="137"/>
      <c r="H3" s="137"/>
      <c r="I3" s="138">
        <v>2</v>
      </c>
      <c r="J3" s="139">
        <v>1</v>
      </c>
      <c r="K3" s="128"/>
      <c r="L3" s="223" t="s">
        <v>9</v>
      </c>
      <c r="M3" s="224"/>
      <c r="N3" s="224"/>
      <c r="O3" s="224"/>
      <c r="P3" s="213">
        <f>Ergebniseingabe!B12</f>
        <v>2</v>
      </c>
      <c r="Q3" s="214">
        <f>Ergebniseingabe!B13</f>
        <v>4</v>
      </c>
      <c r="R3" s="223" t="s">
        <v>70</v>
      </c>
      <c r="S3" s="224"/>
      <c r="T3" s="224"/>
      <c r="U3" s="224"/>
      <c r="V3" s="215">
        <f>Ergebniseingabe!B30</f>
        <v>4</v>
      </c>
      <c r="W3" s="214">
        <f>Ergebniseingabe!B31</f>
        <v>2</v>
      </c>
    </row>
    <row r="4" spans="1:23" ht="13.5" x14ac:dyDescent="0.2">
      <c r="D4" s="136" t="str">
        <f>'[1]34. Spieltag'!A8</f>
        <v>Wolfsburg</v>
      </c>
      <c r="E4" s="137" t="str">
        <f>'[1]34. Spieltag'!B8</f>
        <v>Mainz</v>
      </c>
      <c r="F4" s="137"/>
      <c r="G4" s="137"/>
      <c r="H4" s="137"/>
      <c r="I4" s="138">
        <v>1</v>
      </c>
      <c r="J4" s="139">
        <v>3</v>
      </c>
      <c r="K4" s="128"/>
      <c r="L4" s="223" t="s">
        <v>321</v>
      </c>
      <c r="M4" s="224"/>
      <c r="N4" s="224"/>
      <c r="O4" s="224"/>
      <c r="P4" s="213">
        <f>Ergebniseingabe!B14</f>
        <v>4</v>
      </c>
      <c r="Q4" s="214">
        <f>Ergebniseingabe!B15</f>
        <v>1</v>
      </c>
      <c r="R4" s="223" t="s">
        <v>177</v>
      </c>
      <c r="S4" s="224"/>
      <c r="T4" s="224"/>
      <c r="U4" s="224"/>
      <c r="V4" s="215">
        <f>Ergebniseingabe!B32</f>
        <v>2</v>
      </c>
      <c r="W4" s="214">
        <f>Ergebniseingabe!B33</f>
        <v>1</v>
      </c>
    </row>
    <row r="5" spans="1:23" ht="13.5" x14ac:dyDescent="0.2">
      <c r="D5" s="136" t="str">
        <f>'[1]34. Spieltag'!A9</f>
        <v>Stuttgart</v>
      </c>
      <c r="E5" s="137" t="str">
        <f>'[1]34. Spieltag'!B9</f>
        <v>M'gladbach</v>
      </c>
      <c r="F5" s="137"/>
      <c r="G5" s="137"/>
      <c r="H5" s="137"/>
      <c r="I5" s="138">
        <v>4</v>
      </c>
      <c r="J5" s="139">
        <v>0</v>
      </c>
      <c r="K5" s="128"/>
      <c r="L5" s="223" t="s">
        <v>32</v>
      </c>
      <c r="M5" s="224"/>
      <c r="N5" s="224"/>
      <c r="O5" s="224"/>
      <c r="P5" s="213">
        <f>Ergebniseingabe!B16</f>
        <v>4</v>
      </c>
      <c r="Q5" s="214">
        <f>Ergebniseingabe!B17</f>
        <v>0</v>
      </c>
      <c r="R5" s="223" t="s">
        <v>181</v>
      </c>
      <c r="S5" s="224"/>
      <c r="T5" s="224"/>
      <c r="U5" s="224"/>
      <c r="V5" s="215">
        <f>Ergebniseingabe!B34</f>
        <v>1</v>
      </c>
      <c r="W5" s="214">
        <f>Ergebniseingabe!B35</f>
        <v>4</v>
      </c>
    </row>
    <row r="6" spans="1:23" ht="13.5" x14ac:dyDescent="0.2">
      <c r="D6" s="136" t="str">
        <f>'[1]34. Spieltag'!A10</f>
        <v>Heidenheim</v>
      </c>
      <c r="E6" s="137" t="str">
        <f>'[1]34. Spieltag'!B10</f>
        <v>Köln</v>
      </c>
      <c r="F6" s="137"/>
      <c r="G6" s="137"/>
      <c r="H6" s="137"/>
      <c r="I6" s="138">
        <v>4</v>
      </c>
      <c r="J6" s="139">
        <v>1</v>
      </c>
      <c r="K6" s="128"/>
      <c r="L6" s="223" t="s">
        <v>30</v>
      </c>
      <c r="M6" s="224"/>
      <c r="N6" s="224"/>
      <c r="O6" s="224"/>
      <c r="P6" s="213">
        <f>Ergebniseingabe!B18</f>
        <v>2</v>
      </c>
      <c r="Q6" s="214">
        <f>Ergebniseingabe!B19</f>
        <v>1</v>
      </c>
      <c r="R6" s="223" t="s">
        <v>404</v>
      </c>
      <c r="S6" s="224"/>
      <c r="T6" s="224"/>
      <c r="U6" s="224"/>
      <c r="V6" s="215">
        <f>Ergebniseingabe!B36</f>
        <v>4</v>
      </c>
      <c r="W6" s="214">
        <f>Ergebniseingabe!B37</f>
        <v>1</v>
      </c>
    </row>
    <row r="7" spans="1:23" ht="13.5" x14ac:dyDescent="0.2">
      <c r="D7" s="136" t="str">
        <f>'[1]34. Spieltag'!A11</f>
        <v>Bremen</v>
      </c>
      <c r="E7" s="137" t="str">
        <f>'[1]34. Spieltag'!B11</f>
        <v>Bochum</v>
      </c>
      <c r="F7" s="137"/>
      <c r="G7" s="137"/>
      <c r="H7" s="137"/>
      <c r="I7" s="138">
        <v>4</v>
      </c>
      <c r="J7" s="139">
        <v>1</v>
      </c>
      <c r="K7" s="128"/>
      <c r="L7" s="223" t="s">
        <v>405</v>
      </c>
      <c r="M7" s="224"/>
      <c r="N7" s="224"/>
      <c r="O7" s="224"/>
      <c r="P7" s="213">
        <f>Ergebniseingabe!B20</f>
        <v>0</v>
      </c>
      <c r="Q7" s="214">
        <f>Ergebniseingabe!B21</f>
        <v>4</v>
      </c>
      <c r="R7" s="223" t="s">
        <v>96</v>
      </c>
      <c r="S7" s="224"/>
      <c r="T7" s="224"/>
      <c r="U7" s="224"/>
      <c r="V7" s="215">
        <f>Ergebniseingabe!B38</f>
        <v>1</v>
      </c>
      <c r="W7" s="214">
        <f>Ergebniseingabe!B39</f>
        <v>2</v>
      </c>
    </row>
    <row r="8" spans="1:23" ht="13.5" x14ac:dyDescent="0.2">
      <c r="D8" s="136" t="str">
        <f>'[1]34. Spieltag'!A12</f>
        <v>Leverkusen</v>
      </c>
      <c r="E8" s="137" t="str">
        <f>'[1]34. Spieltag'!B12</f>
        <v>Augsburg</v>
      </c>
      <c r="F8" s="137"/>
      <c r="G8" s="137"/>
      <c r="H8" s="137"/>
      <c r="I8" s="138">
        <v>2</v>
      </c>
      <c r="J8" s="139">
        <v>1</v>
      </c>
      <c r="K8" s="128"/>
      <c r="L8" s="223" t="s">
        <v>128</v>
      </c>
      <c r="M8" s="224"/>
      <c r="N8" s="224"/>
      <c r="O8" s="224"/>
      <c r="P8" s="213">
        <f>Ergebniseingabe!B22</f>
        <v>2</v>
      </c>
      <c r="Q8" s="214">
        <f>Ergebniseingabe!B23</f>
        <v>2</v>
      </c>
      <c r="R8" s="223" t="s">
        <v>129</v>
      </c>
      <c r="S8" s="224"/>
      <c r="T8" s="224"/>
      <c r="U8" s="224"/>
      <c r="V8" s="215">
        <f>Ergebniseingabe!B40</f>
        <v>1</v>
      </c>
      <c r="W8" s="214">
        <f>Ergebniseingabe!B41</f>
        <v>2</v>
      </c>
    </row>
    <row r="9" spans="1:23" ht="14.25" thickBot="1" x14ac:dyDescent="0.25">
      <c r="D9" s="140" t="str">
        <f>'[1]34. Spieltag'!A13</f>
        <v>Dortmund</v>
      </c>
      <c r="E9" s="141" t="str">
        <f>'[1]34. Spieltag'!B13</f>
        <v>Darmstadt</v>
      </c>
      <c r="F9" s="141"/>
      <c r="G9" s="141"/>
      <c r="H9" s="141"/>
      <c r="I9" s="170">
        <v>4</v>
      </c>
      <c r="J9" s="171">
        <v>0</v>
      </c>
      <c r="K9" s="128"/>
      <c r="L9" s="223" t="s">
        <v>259</v>
      </c>
      <c r="M9" s="224"/>
      <c r="N9" s="224"/>
      <c r="O9" s="224"/>
      <c r="P9" s="213">
        <f>Ergebniseingabe!B24</f>
        <v>1</v>
      </c>
      <c r="Q9" s="214">
        <f>Ergebniseingabe!B25</f>
        <v>4</v>
      </c>
      <c r="R9" s="223" t="s">
        <v>106</v>
      </c>
      <c r="S9" s="224"/>
      <c r="T9" s="224"/>
      <c r="U9" s="224"/>
      <c r="V9" s="215">
        <f>Ergebniseingabe!B42</f>
        <v>2</v>
      </c>
      <c r="W9" s="214">
        <f>Ergebniseingabe!B43</f>
        <v>2</v>
      </c>
    </row>
    <row r="10" spans="1:23" ht="13.5" customHeight="1" thickBot="1" x14ac:dyDescent="0.25">
      <c r="D10" s="53"/>
      <c r="G10" s="20"/>
      <c r="H10" s="11"/>
      <c r="I10" s="227">
        <f>SUM(I1:J9)</f>
        <v>38</v>
      </c>
      <c r="J10" s="227"/>
      <c r="K10" s="128"/>
      <c r="L10" s="223" t="s">
        <v>225</v>
      </c>
      <c r="M10" s="224"/>
      <c r="N10" s="224"/>
      <c r="O10" s="224"/>
      <c r="P10" s="213">
        <f>Ergebniseingabe!B26</f>
        <v>4</v>
      </c>
      <c r="Q10" s="214">
        <f>Ergebniseingabe!B27</f>
        <v>0</v>
      </c>
      <c r="R10" s="223" t="s">
        <v>120</v>
      </c>
      <c r="S10" s="224"/>
      <c r="T10" s="224"/>
      <c r="U10" s="224"/>
      <c r="V10" s="215">
        <f>Ergebniseingabe!B44</f>
        <v>3</v>
      </c>
      <c r="W10" s="214">
        <f>Ergebniseingabe!B45</f>
        <v>1</v>
      </c>
    </row>
    <row r="11" spans="1:23" ht="10.5" customHeight="1" thickTop="1" thickBot="1" x14ac:dyDescent="0.25">
      <c r="D11" s="53"/>
      <c r="H11" s="11"/>
      <c r="I11" s="54"/>
      <c r="K11" s="128"/>
      <c r="L11" s="223" t="s">
        <v>31</v>
      </c>
      <c r="M11" s="224"/>
      <c r="N11" s="224"/>
      <c r="O11" s="224"/>
      <c r="P11" s="213">
        <f>Ergebniseingabe!B28</f>
        <v>1</v>
      </c>
      <c r="Q11" s="214">
        <f>Ergebniseingabe!B29</f>
        <v>3</v>
      </c>
      <c r="R11" s="223" t="s">
        <v>69</v>
      </c>
      <c r="S11" s="224"/>
      <c r="T11" s="224"/>
      <c r="U11" s="224"/>
      <c r="V11" s="215">
        <f>Ergebniseingabe!B46</f>
        <v>0</v>
      </c>
      <c r="W11" s="214">
        <f>Ergebniseingabe!B47</f>
        <v>4</v>
      </c>
    </row>
    <row r="12" spans="1:23" ht="13.5" x14ac:dyDescent="0.2">
      <c r="A12" s="55"/>
      <c r="B12" s="55" t="s">
        <v>11</v>
      </c>
      <c r="C12" s="164"/>
      <c r="D12" s="56"/>
      <c r="E12" s="57"/>
      <c r="F12" s="57"/>
      <c r="G12" s="228" t="s">
        <v>15</v>
      </c>
      <c r="H12" s="229"/>
      <c r="I12" s="228" t="s">
        <v>21</v>
      </c>
      <c r="J12" s="229"/>
      <c r="K12" s="232" t="s">
        <v>33</v>
      </c>
      <c r="L12" s="233"/>
      <c r="M12" s="228" t="s">
        <v>23</v>
      </c>
      <c r="N12" s="229"/>
      <c r="O12" s="58" t="s">
        <v>4</v>
      </c>
      <c r="P12" s="58" t="s">
        <v>16</v>
      </c>
      <c r="Q12" s="58" t="s">
        <v>24</v>
      </c>
      <c r="R12" s="228" t="s">
        <v>28</v>
      </c>
      <c r="S12" s="229"/>
      <c r="T12" s="228" t="s">
        <v>26</v>
      </c>
      <c r="U12" s="229"/>
      <c r="V12" s="126" t="s">
        <v>7</v>
      </c>
      <c r="W12" s="59" t="s">
        <v>17</v>
      </c>
    </row>
    <row r="13" spans="1:23" ht="13.5" x14ac:dyDescent="0.2">
      <c r="A13" s="60"/>
      <c r="B13" s="61"/>
      <c r="D13" s="53"/>
      <c r="E13" s="20"/>
      <c r="F13" s="20"/>
      <c r="G13" s="62"/>
      <c r="H13" s="127"/>
      <c r="I13" s="225" t="s">
        <v>22</v>
      </c>
      <c r="J13" s="226"/>
      <c r="K13" s="234"/>
      <c r="L13" s="235"/>
      <c r="M13" s="225" t="s">
        <v>22</v>
      </c>
      <c r="N13" s="226"/>
      <c r="O13" s="63" t="s">
        <v>5</v>
      </c>
      <c r="P13" s="63" t="s">
        <v>6</v>
      </c>
      <c r="Q13" s="63" t="s">
        <v>25</v>
      </c>
      <c r="R13" s="225" t="s">
        <v>29</v>
      </c>
      <c r="S13" s="226"/>
      <c r="T13" s="225" t="s">
        <v>27</v>
      </c>
      <c r="U13" s="226"/>
      <c r="V13" s="127" t="s">
        <v>8</v>
      </c>
      <c r="W13" s="64" t="s">
        <v>6</v>
      </c>
    </row>
    <row r="14" spans="1:23" ht="14.25" customHeight="1" thickBot="1" x14ac:dyDescent="0.25">
      <c r="A14" s="65"/>
      <c r="B14" s="66">
        <f>B15+B48+B83+B297+B171+B359+B238+B137+B201+B536+B110+B386+B266+B328+B445+B415+B507+B474</f>
        <v>99</v>
      </c>
      <c r="C14" s="157"/>
      <c r="D14" s="68"/>
      <c r="E14" s="67"/>
      <c r="F14" s="67"/>
      <c r="G14" s="69" t="s">
        <v>13</v>
      </c>
      <c r="H14" s="70" t="s">
        <v>6</v>
      </c>
      <c r="I14" s="69" t="s">
        <v>13</v>
      </c>
      <c r="J14" s="70" t="s">
        <v>14</v>
      </c>
      <c r="K14" s="69" t="s">
        <v>13</v>
      </c>
      <c r="L14" s="70" t="s">
        <v>14</v>
      </c>
      <c r="M14" s="69" t="s">
        <v>13</v>
      </c>
      <c r="N14" s="70" t="s">
        <v>6</v>
      </c>
      <c r="O14" s="71"/>
      <c r="P14" s="71"/>
      <c r="Q14" s="71" t="s">
        <v>6</v>
      </c>
      <c r="R14" s="69" t="s">
        <v>13</v>
      </c>
      <c r="S14" s="70" t="s">
        <v>6</v>
      </c>
      <c r="T14" s="69" t="s">
        <v>13</v>
      </c>
      <c r="U14" s="70" t="s">
        <v>6</v>
      </c>
      <c r="V14" s="70"/>
      <c r="W14" s="72"/>
    </row>
    <row r="15" spans="1:23" s="144" customFormat="1" ht="18" thickTop="1" thickBot="1" x14ac:dyDescent="0.25">
      <c r="A15" s="142"/>
      <c r="B15" s="160">
        <f>SUM(B16:B47)</f>
        <v>13</v>
      </c>
      <c r="C15" s="161"/>
      <c r="D15" s="230" t="s">
        <v>9</v>
      </c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1"/>
    </row>
    <row r="16" spans="1:23" ht="10.5" customHeight="1" x14ac:dyDescent="0.2">
      <c r="A16" s="11"/>
      <c r="B16" s="162">
        <f>COUNTA(Spieltag!K3:AA3)</f>
        <v>3</v>
      </c>
      <c r="C16" s="165">
        <f>Spieltag!A3</f>
        <v>1</v>
      </c>
      <c r="D16" s="159" t="str">
        <f>Spieltag!B3</f>
        <v>Manuel Neuer</v>
      </c>
      <c r="E16" s="151" t="str">
        <f>Spieltag!C3</f>
        <v>Torwart</v>
      </c>
      <c r="F16" s="152" t="s">
        <v>54</v>
      </c>
      <c r="G16" s="153" t="s">
        <v>676</v>
      </c>
      <c r="H16" s="154">
        <f t="shared" ref="H16:H22" si="0">IF(G16="x",10,0)</f>
        <v>10</v>
      </c>
      <c r="I16" s="153"/>
      <c r="J16" s="154">
        <f t="shared" ref="J16:J22" si="1">IF((I16="x"),-10,0)</f>
        <v>0</v>
      </c>
      <c r="K16" s="153"/>
      <c r="L16" s="154">
        <f t="shared" ref="L16:L22" si="2">IF((K16="x"),-20,0)</f>
        <v>0</v>
      </c>
      <c r="M16" s="153"/>
      <c r="N16" s="154">
        <f t="shared" ref="N16:N22" si="3">IF((M16="x"),-30,0)</f>
        <v>0</v>
      </c>
      <c r="O16" s="155">
        <f t="shared" ref="O16:O47" si="4">IF(AND($P$3&gt;$Q$3),20,IF($P$3=$Q$3,10,0))</f>
        <v>0</v>
      </c>
      <c r="P16" s="155">
        <f t="shared" ref="P16:P47" si="5">IF(($P$3&lt;&gt;0),$P$3*10,-5)</f>
        <v>20</v>
      </c>
      <c r="Q16" s="155">
        <f>IF(($Q$3&lt;&gt;0),$Q$3*-10,20)</f>
        <v>-40</v>
      </c>
      <c r="R16" s="153"/>
      <c r="S16" s="154">
        <f>R16*20</f>
        <v>0</v>
      </c>
      <c r="T16" s="153"/>
      <c r="U16" s="154">
        <f t="shared" ref="U16:U22" si="6">T16*-15</f>
        <v>0</v>
      </c>
      <c r="V16" s="155">
        <f t="shared" ref="V16:V22" si="7">IF(AND(R16=2),10,IF(R16=3,30,IF(R16=4,50,IF(R16=5,70,0))))</f>
        <v>0</v>
      </c>
      <c r="W16" s="156">
        <f t="shared" ref="W16:W22" si="8">IF(G16="x",H16+J16+L16+N16+O16+P16+Q16+S16+U16+V16,0)</f>
        <v>-10</v>
      </c>
    </row>
    <row r="17" spans="1:23" ht="10.5" hidden="1" customHeight="1" x14ac:dyDescent="0.2">
      <c r="A17" s="11"/>
      <c r="B17" s="163">
        <f>COUNTA(Spieltag!K4:AA4)</f>
        <v>0</v>
      </c>
      <c r="C17" s="166">
        <f>Spieltag!A4</f>
        <v>18</v>
      </c>
      <c r="D17" s="21" t="str">
        <f>Spieltag!B4</f>
        <v>Daniel Peretz</v>
      </c>
      <c r="E17" s="12" t="str">
        <f>Spieltag!C4</f>
        <v>Torwart</v>
      </c>
      <c r="F17" s="13" t="s">
        <v>54</v>
      </c>
      <c r="G17" s="14"/>
      <c r="H17" s="15">
        <f t="shared" si="0"/>
        <v>0</v>
      </c>
      <c r="I17" s="14"/>
      <c r="J17" s="15">
        <f t="shared" si="1"/>
        <v>0</v>
      </c>
      <c r="K17" s="14"/>
      <c r="L17" s="15">
        <f t="shared" si="2"/>
        <v>0</v>
      </c>
      <c r="M17" s="14"/>
      <c r="N17" s="15">
        <f t="shared" si="3"/>
        <v>0</v>
      </c>
      <c r="O17" s="16">
        <f t="shared" si="4"/>
        <v>0</v>
      </c>
      <c r="P17" s="16">
        <f t="shared" si="5"/>
        <v>20</v>
      </c>
      <c r="Q17" s="16">
        <f>IF(($Q$3&lt;&gt;0),$Q$3*-10,20)</f>
        <v>-40</v>
      </c>
      <c r="R17" s="14"/>
      <c r="S17" s="15">
        <f>R17*20</f>
        <v>0</v>
      </c>
      <c r="T17" s="14"/>
      <c r="U17" s="15">
        <f t="shared" si="6"/>
        <v>0</v>
      </c>
      <c r="V17" s="16">
        <f t="shared" si="7"/>
        <v>0</v>
      </c>
      <c r="W17" s="17">
        <f t="shared" si="8"/>
        <v>0</v>
      </c>
    </row>
    <row r="18" spans="1:23" ht="10.5" hidden="1" customHeight="1" x14ac:dyDescent="0.2">
      <c r="A18" s="11"/>
      <c r="B18" s="163">
        <f>COUNTA(Spieltag!K5:AA5)</f>
        <v>0</v>
      </c>
      <c r="C18" s="166">
        <f>Spieltag!A5</f>
        <v>26</v>
      </c>
      <c r="D18" s="21" t="str">
        <f>Spieltag!B5</f>
        <v>Sven Ulreich</v>
      </c>
      <c r="E18" s="12" t="str">
        <f>Spieltag!C5</f>
        <v>Torwart</v>
      </c>
      <c r="F18" s="13" t="s">
        <v>54</v>
      </c>
      <c r="G18" s="14"/>
      <c r="H18" s="15">
        <f t="shared" ref="H18:H19" si="9">IF(G18="x",10,0)</f>
        <v>0</v>
      </c>
      <c r="I18" s="14"/>
      <c r="J18" s="15">
        <f t="shared" ref="J18:J19" si="10">IF((I18="x"),-10,0)</f>
        <v>0</v>
      </c>
      <c r="K18" s="14"/>
      <c r="L18" s="15">
        <f t="shared" ref="L18:L19" si="11">IF((K18="x"),-20,0)</f>
        <v>0</v>
      </c>
      <c r="M18" s="14"/>
      <c r="N18" s="15">
        <f t="shared" ref="N18:N19" si="12">IF((M18="x"),-30,0)</f>
        <v>0</v>
      </c>
      <c r="O18" s="16">
        <f t="shared" si="4"/>
        <v>0</v>
      </c>
      <c r="P18" s="16">
        <f t="shared" si="5"/>
        <v>20</v>
      </c>
      <c r="Q18" s="16">
        <f>IF(($Q$3&lt;&gt;0),$Q$3*-10,20)</f>
        <v>-40</v>
      </c>
      <c r="R18" s="14"/>
      <c r="S18" s="15">
        <f>R18*20</f>
        <v>0</v>
      </c>
      <c r="T18" s="14"/>
      <c r="U18" s="15">
        <f t="shared" ref="U18:U19" si="13">T18*-15</f>
        <v>0</v>
      </c>
      <c r="V18" s="16">
        <f t="shared" ref="V18:V19" si="14">IF(AND(R18=2),10,IF(R18=3,30,IF(R18=4,50,IF(R18=5,70,0))))</f>
        <v>0</v>
      </c>
      <c r="W18" s="17">
        <f t="shared" ref="W18:W19" si="15">IF(G18="x",H18+J18+L18+N18+O18+P18+Q18+S18+U18+V18,0)</f>
        <v>0</v>
      </c>
    </row>
    <row r="19" spans="1:23" ht="10.5" hidden="1" customHeight="1" x14ac:dyDescent="0.2">
      <c r="A19" s="11"/>
      <c r="B19" s="163">
        <f>COUNTA(Spieltag!K6:AA6)</f>
        <v>0</v>
      </c>
      <c r="C19" s="166">
        <f>Spieltag!A6</f>
        <v>43</v>
      </c>
      <c r="D19" s="21" t="str">
        <f>Spieltag!B6</f>
        <v>Ritzy Hülsmann</v>
      </c>
      <c r="E19" s="12" t="str">
        <f>Spieltag!C6</f>
        <v>Torwart</v>
      </c>
      <c r="F19" s="13" t="s">
        <v>54</v>
      </c>
      <c r="G19" s="14"/>
      <c r="H19" s="15">
        <f t="shared" si="9"/>
        <v>0</v>
      </c>
      <c r="I19" s="14"/>
      <c r="J19" s="15">
        <f t="shared" si="10"/>
        <v>0</v>
      </c>
      <c r="K19" s="14"/>
      <c r="L19" s="15">
        <f t="shared" si="11"/>
        <v>0</v>
      </c>
      <c r="M19" s="14"/>
      <c r="N19" s="15">
        <f t="shared" si="12"/>
        <v>0</v>
      </c>
      <c r="O19" s="16">
        <f t="shared" si="4"/>
        <v>0</v>
      </c>
      <c r="P19" s="16">
        <f t="shared" si="5"/>
        <v>20</v>
      </c>
      <c r="Q19" s="16">
        <f>IF(($Q$3&lt;&gt;0),$Q$3*-10,20)</f>
        <v>-40</v>
      </c>
      <c r="R19" s="14"/>
      <c r="S19" s="15">
        <f>R19*20</f>
        <v>0</v>
      </c>
      <c r="T19" s="14"/>
      <c r="U19" s="15">
        <f t="shared" si="13"/>
        <v>0</v>
      </c>
      <c r="V19" s="16">
        <f t="shared" si="14"/>
        <v>0</v>
      </c>
      <c r="W19" s="17">
        <f t="shared" si="15"/>
        <v>0</v>
      </c>
    </row>
    <row r="20" spans="1:23" ht="10.5" hidden="1" customHeight="1" x14ac:dyDescent="0.2">
      <c r="A20" s="11"/>
      <c r="B20" s="163">
        <f>COUNTA(Spieltag!K7:AA7)</f>
        <v>0</v>
      </c>
      <c r="C20" s="166">
        <f>Spieltag!A7</f>
        <v>48</v>
      </c>
      <c r="D20" s="21" t="str">
        <f>Spieltag!B7</f>
        <v>Max Schmitt</v>
      </c>
      <c r="E20" s="12" t="str">
        <f>Spieltag!C7</f>
        <v>Torwart</v>
      </c>
      <c r="F20" s="13" t="s">
        <v>54</v>
      </c>
      <c r="G20" s="14"/>
      <c r="H20" s="15">
        <f t="shared" si="0"/>
        <v>0</v>
      </c>
      <c r="I20" s="14"/>
      <c r="J20" s="15">
        <f t="shared" si="1"/>
        <v>0</v>
      </c>
      <c r="K20" s="14"/>
      <c r="L20" s="15">
        <f t="shared" si="2"/>
        <v>0</v>
      </c>
      <c r="M20" s="14"/>
      <c r="N20" s="15">
        <f t="shared" si="3"/>
        <v>0</v>
      </c>
      <c r="O20" s="16">
        <f t="shared" si="4"/>
        <v>0</v>
      </c>
      <c r="P20" s="16">
        <f t="shared" si="5"/>
        <v>20</v>
      </c>
      <c r="Q20" s="16">
        <f>IF(($Q$3&lt;&gt;0),$Q$3*-10,20)</f>
        <v>-40</v>
      </c>
      <c r="R20" s="14"/>
      <c r="S20" s="15">
        <f>R20*20</f>
        <v>0</v>
      </c>
      <c r="T20" s="14"/>
      <c r="U20" s="15">
        <f t="shared" si="6"/>
        <v>0</v>
      </c>
      <c r="V20" s="16">
        <f t="shared" si="7"/>
        <v>0</v>
      </c>
      <c r="W20" s="17">
        <f t="shared" si="8"/>
        <v>0</v>
      </c>
    </row>
    <row r="21" spans="1:23" ht="10.5" hidden="1" customHeight="1" x14ac:dyDescent="0.2">
      <c r="A21" s="11"/>
      <c r="B21" s="163">
        <f>COUNTA(Spieltag!K8:AA8)</f>
        <v>0</v>
      </c>
      <c r="C21" s="166">
        <f>Spieltag!A8</f>
        <v>2</v>
      </c>
      <c r="D21" s="21" t="str">
        <f>Spieltag!B8</f>
        <v>Dayot Upamecano (A)</v>
      </c>
      <c r="E21" s="12" t="str">
        <f>Spieltag!C8</f>
        <v>Abwehr</v>
      </c>
      <c r="F21" s="13" t="s">
        <v>54</v>
      </c>
      <c r="G21" s="14"/>
      <c r="H21" s="15">
        <f t="shared" ref="H21" si="16">IF(G21="x",10,0)</f>
        <v>0</v>
      </c>
      <c r="I21" s="14"/>
      <c r="J21" s="15">
        <f t="shared" ref="J21" si="17">IF((I21="x"),-10,0)</f>
        <v>0</v>
      </c>
      <c r="K21" s="14"/>
      <c r="L21" s="15">
        <f t="shared" ref="L21" si="18">IF((K21="x"),-20,0)</f>
        <v>0</v>
      </c>
      <c r="M21" s="14"/>
      <c r="N21" s="15">
        <f t="shared" ref="N21" si="19">IF((M21="x"),-30,0)</f>
        <v>0</v>
      </c>
      <c r="O21" s="16">
        <f t="shared" si="4"/>
        <v>0</v>
      </c>
      <c r="P21" s="16">
        <f t="shared" si="5"/>
        <v>20</v>
      </c>
      <c r="Q21" s="16">
        <f t="shared" ref="Q21:Q31" si="20">IF(($Q$3&lt;&gt;0),$Q$3*-10,15)</f>
        <v>-40</v>
      </c>
      <c r="R21" s="14"/>
      <c r="S21" s="15">
        <f>R21*15</f>
        <v>0</v>
      </c>
      <c r="T21" s="14"/>
      <c r="U21" s="15">
        <f t="shared" ref="U21" si="21">T21*-15</f>
        <v>0</v>
      </c>
      <c r="V21" s="16">
        <f t="shared" ref="V21" si="22">IF(AND(R21=2),10,IF(R21=3,30,IF(R21=4,50,IF(R21=5,70,0))))</f>
        <v>0</v>
      </c>
      <c r="W21" s="17">
        <f t="shared" ref="W21" si="23">IF(G21="x",H21+J21+L21+N21+O21+P21+Q21+S21+U21+V21,0)</f>
        <v>0</v>
      </c>
    </row>
    <row r="22" spans="1:23" ht="10.5" hidden="1" customHeight="1" x14ac:dyDescent="0.2">
      <c r="A22" s="11"/>
      <c r="B22" s="163">
        <f>COUNTA(Spieltag!K9:AA9)</f>
        <v>0</v>
      </c>
      <c r="C22" s="166">
        <f>Spieltag!A9</f>
        <v>3</v>
      </c>
      <c r="D22" s="21" t="str">
        <f>Spieltag!B9</f>
        <v>Min-Jae Kim (A)</v>
      </c>
      <c r="E22" s="12" t="str">
        <f>Spieltag!C9</f>
        <v>Abwehr</v>
      </c>
      <c r="F22" s="13" t="s">
        <v>54</v>
      </c>
      <c r="G22" s="14"/>
      <c r="H22" s="15">
        <f t="shared" si="0"/>
        <v>0</v>
      </c>
      <c r="I22" s="14"/>
      <c r="J22" s="15">
        <f t="shared" si="1"/>
        <v>0</v>
      </c>
      <c r="K22" s="14"/>
      <c r="L22" s="15">
        <f t="shared" si="2"/>
        <v>0</v>
      </c>
      <c r="M22" s="14"/>
      <c r="N22" s="15">
        <f t="shared" si="3"/>
        <v>0</v>
      </c>
      <c r="O22" s="16">
        <f t="shared" si="4"/>
        <v>0</v>
      </c>
      <c r="P22" s="16">
        <f t="shared" si="5"/>
        <v>20</v>
      </c>
      <c r="Q22" s="16">
        <f t="shared" si="20"/>
        <v>-40</v>
      </c>
      <c r="R22" s="14"/>
      <c r="S22" s="15">
        <f>R22*15</f>
        <v>0</v>
      </c>
      <c r="T22" s="14"/>
      <c r="U22" s="15">
        <f t="shared" si="6"/>
        <v>0</v>
      </c>
      <c r="V22" s="16">
        <f t="shared" si="7"/>
        <v>0</v>
      </c>
      <c r="W22" s="17">
        <f t="shared" si="8"/>
        <v>0</v>
      </c>
    </row>
    <row r="23" spans="1:23" ht="10.5" hidden="1" customHeight="1" x14ac:dyDescent="0.2">
      <c r="A23" s="11"/>
      <c r="B23" s="163">
        <f>COUNTA(Spieltag!K10:AA10)</f>
        <v>0</v>
      </c>
      <c r="C23" s="166">
        <f>Spieltag!A10</f>
        <v>4</v>
      </c>
      <c r="D23" s="21" t="str">
        <f>Spieltag!B10</f>
        <v>Matthijs de Ligt (A)</v>
      </c>
      <c r="E23" s="12" t="str">
        <f>Spieltag!C10</f>
        <v>Abwehr</v>
      </c>
      <c r="F23" s="13" t="s">
        <v>54</v>
      </c>
      <c r="G23" s="14"/>
      <c r="H23" s="15">
        <f t="shared" ref="H23:H24" si="24">IF(G23="x",10,0)</f>
        <v>0</v>
      </c>
      <c r="I23" s="14"/>
      <c r="J23" s="15">
        <f t="shared" ref="J23:J24" si="25">IF((I23="x"),-10,0)</f>
        <v>0</v>
      </c>
      <c r="K23" s="14"/>
      <c r="L23" s="15">
        <f t="shared" ref="L23:L24" si="26">IF((K23="x"),-20,0)</f>
        <v>0</v>
      </c>
      <c r="M23" s="14"/>
      <c r="N23" s="15">
        <f t="shared" ref="N23:N24" si="27">IF((M23="x"),-30,0)</f>
        <v>0</v>
      </c>
      <c r="O23" s="16">
        <f t="shared" si="4"/>
        <v>0</v>
      </c>
      <c r="P23" s="16">
        <f t="shared" si="5"/>
        <v>20</v>
      </c>
      <c r="Q23" s="16">
        <f t="shared" si="20"/>
        <v>-40</v>
      </c>
      <c r="R23" s="14"/>
      <c r="S23" s="15">
        <f t="shared" ref="S23:S24" si="28">R23*15</f>
        <v>0</v>
      </c>
      <c r="T23" s="14"/>
      <c r="U23" s="15">
        <f t="shared" ref="U23:U24" si="29">T23*-15</f>
        <v>0</v>
      </c>
      <c r="V23" s="16">
        <f t="shared" ref="V23:V24" si="30">IF(AND(R23=2),10,IF(R23=3,30,IF(R23=4,50,IF(R23=5,70,0))))</f>
        <v>0</v>
      </c>
      <c r="W23" s="17">
        <f t="shared" ref="W23:W24" si="31">IF(G23="x",H23+J23+L23+N23+O23+P23+Q23+S23+U23+V23,0)</f>
        <v>0</v>
      </c>
    </row>
    <row r="24" spans="1:23" ht="10.5" hidden="1" customHeight="1" x14ac:dyDescent="0.2">
      <c r="A24" s="11"/>
      <c r="B24" s="163">
        <f>COUNTA(Spieltag!K11:AA11)</f>
        <v>0</v>
      </c>
      <c r="C24" s="166">
        <f>Spieltag!A11</f>
        <v>15</v>
      </c>
      <c r="D24" s="21" t="str">
        <f>Spieltag!B11</f>
        <v>Eric Dier (A)</v>
      </c>
      <c r="E24" s="12" t="str">
        <f>Spieltag!C11</f>
        <v>Abwehr</v>
      </c>
      <c r="F24" s="13" t="s">
        <v>54</v>
      </c>
      <c r="G24" s="14"/>
      <c r="H24" s="15">
        <f t="shared" si="24"/>
        <v>0</v>
      </c>
      <c r="I24" s="14"/>
      <c r="J24" s="15">
        <f t="shared" si="25"/>
        <v>0</v>
      </c>
      <c r="K24" s="14"/>
      <c r="L24" s="15">
        <f t="shared" si="26"/>
        <v>0</v>
      </c>
      <c r="M24" s="14"/>
      <c r="N24" s="15">
        <f t="shared" si="27"/>
        <v>0</v>
      </c>
      <c r="O24" s="16">
        <f t="shared" si="4"/>
        <v>0</v>
      </c>
      <c r="P24" s="16">
        <f t="shared" si="5"/>
        <v>20</v>
      </c>
      <c r="Q24" s="16">
        <f t="shared" si="20"/>
        <v>-40</v>
      </c>
      <c r="R24" s="14"/>
      <c r="S24" s="15">
        <f t="shared" si="28"/>
        <v>0</v>
      </c>
      <c r="T24" s="14"/>
      <c r="U24" s="15">
        <f t="shared" si="29"/>
        <v>0</v>
      </c>
      <c r="V24" s="16">
        <f t="shared" si="30"/>
        <v>0</v>
      </c>
      <c r="W24" s="17">
        <f t="shared" si="31"/>
        <v>0</v>
      </c>
    </row>
    <row r="25" spans="1:23" ht="10.5" hidden="1" customHeight="1" x14ac:dyDescent="0.2">
      <c r="A25" s="11"/>
      <c r="B25" s="163">
        <f>COUNTA(Spieltag!K12:AA12)</f>
        <v>0</v>
      </c>
      <c r="C25" s="166">
        <f>Spieltag!A12</f>
        <v>19</v>
      </c>
      <c r="D25" s="21" t="str">
        <f>Spieltag!B12</f>
        <v>Alphonso Davies (A)</v>
      </c>
      <c r="E25" s="12" t="str">
        <f>Spieltag!C12</f>
        <v>Abwehr</v>
      </c>
      <c r="F25" s="13" t="s">
        <v>54</v>
      </c>
      <c r="G25" s="14"/>
      <c r="H25" s="15">
        <f t="shared" ref="H25:H29" si="32">IF(G25="x",10,0)</f>
        <v>0</v>
      </c>
      <c r="I25" s="14"/>
      <c r="J25" s="15">
        <f t="shared" ref="J25:J29" si="33">IF((I25="x"),-10,0)</f>
        <v>0</v>
      </c>
      <c r="K25" s="14"/>
      <c r="L25" s="15">
        <f t="shared" ref="L25:L29" si="34">IF((K25="x"),-20,0)</f>
        <v>0</v>
      </c>
      <c r="M25" s="14"/>
      <c r="N25" s="15">
        <f t="shared" ref="N25:N29" si="35">IF((M25="x"),-30,0)</f>
        <v>0</v>
      </c>
      <c r="O25" s="16">
        <f t="shared" si="4"/>
        <v>0</v>
      </c>
      <c r="P25" s="16">
        <f t="shared" si="5"/>
        <v>20</v>
      </c>
      <c r="Q25" s="16">
        <f t="shared" si="20"/>
        <v>-40</v>
      </c>
      <c r="R25" s="14"/>
      <c r="S25" s="15">
        <f t="shared" ref="S25:S29" si="36">R25*15</f>
        <v>0</v>
      </c>
      <c r="T25" s="14"/>
      <c r="U25" s="15">
        <f t="shared" ref="U25:U29" si="37">T25*-15</f>
        <v>0</v>
      </c>
      <c r="V25" s="16">
        <f t="shared" ref="V25:V29" si="38">IF(AND(R25=2),10,IF(R25=3,30,IF(R25=4,50,IF(R25=5,70,0))))</f>
        <v>0</v>
      </c>
      <c r="W25" s="17">
        <f t="shared" ref="W25:W29" si="39">IF(G25="x",H25+J25+L25+N25+O25+P25+Q25+S25+U25+V25,0)</f>
        <v>0</v>
      </c>
    </row>
    <row r="26" spans="1:23" ht="10.5" hidden="1" customHeight="1" x14ac:dyDescent="0.2">
      <c r="A26" s="11"/>
      <c r="B26" s="163">
        <f>COUNTA(Spieltag!K13:AA13)</f>
        <v>0</v>
      </c>
      <c r="C26" s="166">
        <f>Spieltag!A13</f>
        <v>20</v>
      </c>
      <c r="D26" s="21" t="str">
        <f>Spieltag!B13</f>
        <v>Bouna Sarr (A)</v>
      </c>
      <c r="E26" s="12" t="str">
        <f>Spieltag!C13</f>
        <v>Abwehr</v>
      </c>
      <c r="F26" s="13" t="s">
        <v>54</v>
      </c>
      <c r="G26" s="14"/>
      <c r="H26" s="15">
        <f t="shared" si="32"/>
        <v>0</v>
      </c>
      <c r="I26" s="14"/>
      <c r="J26" s="15">
        <f t="shared" si="33"/>
        <v>0</v>
      </c>
      <c r="K26" s="14"/>
      <c r="L26" s="15">
        <f t="shared" si="34"/>
        <v>0</v>
      </c>
      <c r="M26" s="14"/>
      <c r="N26" s="15">
        <f t="shared" si="35"/>
        <v>0</v>
      </c>
      <c r="O26" s="16">
        <f t="shared" si="4"/>
        <v>0</v>
      </c>
      <c r="P26" s="16">
        <f t="shared" si="5"/>
        <v>20</v>
      </c>
      <c r="Q26" s="16">
        <f t="shared" si="20"/>
        <v>-40</v>
      </c>
      <c r="R26" s="14"/>
      <c r="S26" s="15">
        <f t="shared" si="36"/>
        <v>0</v>
      </c>
      <c r="T26" s="14"/>
      <c r="U26" s="15">
        <f t="shared" si="37"/>
        <v>0</v>
      </c>
      <c r="V26" s="16">
        <f t="shared" si="38"/>
        <v>0</v>
      </c>
      <c r="W26" s="17">
        <f t="shared" si="39"/>
        <v>0</v>
      </c>
    </row>
    <row r="27" spans="1:23" ht="10.5" hidden="1" customHeight="1" x14ac:dyDescent="0.2">
      <c r="A27" s="11"/>
      <c r="B27" s="163">
        <f>COUNTA(Spieltag!K14:AA14)</f>
        <v>0</v>
      </c>
      <c r="C27" s="166">
        <f>Spieltag!A14</f>
        <v>22</v>
      </c>
      <c r="D27" s="21" t="str">
        <f>Spieltag!B14</f>
        <v>Raphael Guerreiro (A)</v>
      </c>
      <c r="E27" s="12" t="str">
        <f>Spieltag!C14</f>
        <v>Abwehr</v>
      </c>
      <c r="F27" s="13" t="s">
        <v>54</v>
      </c>
      <c r="G27" s="14"/>
      <c r="H27" s="15">
        <f t="shared" ref="H27:H28" si="40">IF(G27="x",10,0)</f>
        <v>0</v>
      </c>
      <c r="I27" s="14"/>
      <c r="J27" s="15">
        <f t="shared" ref="J27:J28" si="41">IF((I27="x"),-10,0)</f>
        <v>0</v>
      </c>
      <c r="K27" s="14"/>
      <c r="L27" s="15">
        <f t="shared" ref="L27:L28" si="42">IF((K27="x"),-20,0)</f>
        <v>0</v>
      </c>
      <c r="M27" s="14"/>
      <c r="N27" s="15">
        <f t="shared" ref="N27:N28" si="43">IF((M27="x"),-30,0)</f>
        <v>0</v>
      </c>
      <c r="O27" s="16">
        <f t="shared" si="4"/>
        <v>0</v>
      </c>
      <c r="P27" s="16">
        <f t="shared" si="5"/>
        <v>20</v>
      </c>
      <c r="Q27" s="16">
        <f t="shared" si="20"/>
        <v>-40</v>
      </c>
      <c r="R27" s="14"/>
      <c r="S27" s="15">
        <f t="shared" ref="S27:S28" si="44">R27*15</f>
        <v>0</v>
      </c>
      <c r="T27" s="14"/>
      <c r="U27" s="15">
        <f t="shared" ref="U27:U28" si="45">T27*-15</f>
        <v>0</v>
      </c>
      <c r="V27" s="16">
        <f t="shared" ref="V27:V28" si="46">IF(AND(R27=2),10,IF(R27=3,30,IF(R27=4,50,IF(R27=5,70,0))))</f>
        <v>0</v>
      </c>
      <c r="W27" s="17">
        <f t="shared" ref="W27:W28" si="47">IF(G27="x",H27+J27+L27+N27+O27+P27+Q27+S27+U27+V27,0)</f>
        <v>0</v>
      </c>
    </row>
    <row r="28" spans="1:23" ht="10.5" hidden="1" customHeight="1" x14ac:dyDescent="0.2">
      <c r="A28" s="11"/>
      <c r="B28" s="163">
        <f>COUNTA(Spieltag!K15:AA15)</f>
        <v>0</v>
      </c>
      <c r="C28" s="166">
        <f>Spieltag!A15</f>
        <v>23</v>
      </c>
      <c r="D28" s="21" t="str">
        <f>Spieltag!B15</f>
        <v>Sacha Boey (A)</v>
      </c>
      <c r="E28" s="12" t="str">
        <f>Spieltag!C15</f>
        <v>Abwehr</v>
      </c>
      <c r="F28" s="13" t="s">
        <v>54</v>
      </c>
      <c r="G28" s="14"/>
      <c r="H28" s="15">
        <f t="shared" si="40"/>
        <v>0</v>
      </c>
      <c r="I28" s="14"/>
      <c r="J28" s="15">
        <f t="shared" si="41"/>
        <v>0</v>
      </c>
      <c r="K28" s="14"/>
      <c r="L28" s="15">
        <f t="shared" si="42"/>
        <v>0</v>
      </c>
      <c r="M28" s="14"/>
      <c r="N28" s="15">
        <f t="shared" si="43"/>
        <v>0</v>
      </c>
      <c r="O28" s="16">
        <f t="shared" si="4"/>
        <v>0</v>
      </c>
      <c r="P28" s="16">
        <f t="shared" si="5"/>
        <v>20</v>
      </c>
      <c r="Q28" s="16">
        <f t="shared" si="20"/>
        <v>-40</v>
      </c>
      <c r="R28" s="14"/>
      <c r="S28" s="15">
        <f t="shared" si="44"/>
        <v>0</v>
      </c>
      <c r="T28" s="14"/>
      <c r="U28" s="15">
        <f t="shared" si="45"/>
        <v>0</v>
      </c>
      <c r="V28" s="16">
        <f t="shared" si="46"/>
        <v>0</v>
      </c>
      <c r="W28" s="17">
        <f t="shared" si="47"/>
        <v>0</v>
      </c>
    </row>
    <row r="29" spans="1:23" ht="10.5" hidden="1" customHeight="1" x14ac:dyDescent="0.2">
      <c r="A29" s="11"/>
      <c r="B29" s="163">
        <f>COUNTA(Spieltag!K16:AA16)</f>
        <v>0</v>
      </c>
      <c r="C29" s="166">
        <f>Spieltag!A16</f>
        <v>28</v>
      </c>
      <c r="D29" s="21" t="str">
        <f>Spieltag!B16</f>
        <v>Tarek Buchmann</v>
      </c>
      <c r="E29" s="12" t="str">
        <f>Spieltag!C16</f>
        <v>Abwehr</v>
      </c>
      <c r="F29" s="13" t="s">
        <v>54</v>
      </c>
      <c r="G29" s="14"/>
      <c r="H29" s="15">
        <f t="shared" si="32"/>
        <v>0</v>
      </c>
      <c r="I29" s="14"/>
      <c r="J29" s="15">
        <f t="shared" si="33"/>
        <v>0</v>
      </c>
      <c r="K29" s="14"/>
      <c r="L29" s="15">
        <f t="shared" si="34"/>
        <v>0</v>
      </c>
      <c r="M29" s="14"/>
      <c r="N29" s="15">
        <f t="shared" si="35"/>
        <v>0</v>
      </c>
      <c r="O29" s="16">
        <f t="shared" si="4"/>
        <v>0</v>
      </c>
      <c r="P29" s="16">
        <f t="shared" si="5"/>
        <v>20</v>
      </c>
      <c r="Q29" s="16">
        <f t="shared" si="20"/>
        <v>-40</v>
      </c>
      <c r="R29" s="14"/>
      <c r="S29" s="15">
        <f t="shared" si="36"/>
        <v>0</v>
      </c>
      <c r="T29" s="14"/>
      <c r="U29" s="15">
        <f t="shared" si="37"/>
        <v>0</v>
      </c>
      <c r="V29" s="16">
        <f t="shared" si="38"/>
        <v>0</v>
      </c>
      <c r="W29" s="17">
        <f t="shared" si="39"/>
        <v>0</v>
      </c>
    </row>
    <row r="30" spans="1:23" ht="10.5" hidden="1" customHeight="1" x14ac:dyDescent="0.2">
      <c r="A30" s="11"/>
      <c r="B30" s="163">
        <f>COUNTA(Spieltag!K17:AA17)</f>
        <v>0</v>
      </c>
      <c r="C30" s="166">
        <f>Spieltag!A17</f>
        <v>40</v>
      </c>
      <c r="D30" s="21" t="str">
        <f>Spieltag!B17</f>
        <v>Noussair Mazraoui (A)</v>
      </c>
      <c r="E30" s="12" t="str">
        <f>Spieltag!C17</f>
        <v>Abwehr</v>
      </c>
      <c r="F30" s="13" t="s">
        <v>54</v>
      </c>
      <c r="G30" s="14"/>
      <c r="H30" s="15">
        <f t="shared" ref="H30:H31" si="48">IF(G30="x",10,0)</f>
        <v>0</v>
      </c>
      <c r="I30" s="14"/>
      <c r="J30" s="15">
        <f t="shared" ref="J30:J31" si="49">IF((I30="x"),-10,0)</f>
        <v>0</v>
      </c>
      <c r="K30" s="14"/>
      <c r="L30" s="15">
        <f t="shared" ref="L30:L31" si="50">IF((K30="x"),-20,0)</f>
        <v>0</v>
      </c>
      <c r="M30" s="14"/>
      <c r="N30" s="15">
        <f t="shared" ref="N30:N31" si="51">IF((M30="x"),-30,0)</f>
        <v>0</v>
      </c>
      <c r="O30" s="16">
        <f t="shared" si="4"/>
        <v>0</v>
      </c>
      <c r="P30" s="16">
        <f t="shared" si="5"/>
        <v>20</v>
      </c>
      <c r="Q30" s="16">
        <f t="shared" si="20"/>
        <v>-40</v>
      </c>
      <c r="R30" s="14"/>
      <c r="S30" s="15">
        <f t="shared" ref="S30:S31" si="52">R30*15</f>
        <v>0</v>
      </c>
      <c r="T30" s="14"/>
      <c r="U30" s="15">
        <f t="shared" ref="U30:U31" si="53">T30*-15</f>
        <v>0</v>
      </c>
      <c r="V30" s="16">
        <f t="shared" ref="V30:V31" si="54">IF(AND(R30=2),10,IF(R30=3,30,IF(R30=4,50,IF(R30=5,70,0))))</f>
        <v>0</v>
      </c>
      <c r="W30" s="17">
        <f t="shared" ref="W30:W31" si="55">IF(G30="x",H30+J30+L30+N30+O30+P30+Q30+S30+U30+V30,0)</f>
        <v>0</v>
      </c>
    </row>
    <row r="31" spans="1:23" ht="10.5" hidden="1" customHeight="1" x14ac:dyDescent="0.2">
      <c r="A31" s="11"/>
      <c r="B31" s="163">
        <f>COUNTA(Spieltag!K18:AA18)</f>
        <v>0</v>
      </c>
      <c r="C31" s="166">
        <f>Spieltag!A18</f>
        <v>44</v>
      </c>
      <c r="D31" s="21" t="str">
        <f>Spieltag!B18</f>
        <v>Adam Aznou (A)</v>
      </c>
      <c r="E31" s="12" t="str">
        <f>Spieltag!C18</f>
        <v>Abwehr</v>
      </c>
      <c r="F31" s="13" t="s">
        <v>54</v>
      </c>
      <c r="G31" s="14"/>
      <c r="H31" s="15">
        <f t="shared" si="48"/>
        <v>0</v>
      </c>
      <c r="I31" s="14"/>
      <c r="J31" s="15">
        <f t="shared" si="49"/>
        <v>0</v>
      </c>
      <c r="K31" s="14"/>
      <c r="L31" s="15">
        <f t="shared" si="50"/>
        <v>0</v>
      </c>
      <c r="M31" s="14"/>
      <c r="N31" s="15">
        <f t="shared" si="51"/>
        <v>0</v>
      </c>
      <c r="O31" s="16">
        <f t="shared" si="4"/>
        <v>0</v>
      </c>
      <c r="P31" s="16">
        <f t="shared" si="5"/>
        <v>20</v>
      </c>
      <c r="Q31" s="16">
        <f t="shared" si="20"/>
        <v>-40</v>
      </c>
      <c r="R31" s="14"/>
      <c r="S31" s="15">
        <f t="shared" si="52"/>
        <v>0</v>
      </c>
      <c r="T31" s="14"/>
      <c r="U31" s="15">
        <f t="shared" si="53"/>
        <v>0</v>
      </c>
      <c r="V31" s="16">
        <f t="shared" si="54"/>
        <v>0</v>
      </c>
      <c r="W31" s="17">
        <f t="shared" si="55"/>
        <v>0</v>
      </c>
    </row>
    <row r="32" spans="1:23" ht="10.5" customHeight="1" x14ac:dyDescent="0.2">
      <c r="A32" s="11"/>
      <c r="B32" s="163">
        <f>COUNTA(Spieltag!K19:AA19)</f>
        <v>3</v>
      </c>
      <c r="C32" s="166">
        <f>Spieltag!A19</f>
        <v>6</v>
      </c>
      <c r="D32" s="21" t="str">
        <f>Spieltag!B19</f>
        <v>Joshua Kimmich</v>
      </c>
      <c r="E32" s="12" t="str">
        <f>Spieltag!C19</f>
        <v>Mittelfeld</v>
      </c>
      <c r="F32" s="13" t="s">
        <v>54</v>
      </c>
      <c r="G32" s="14" t="s">
        <v>676</v>
      </c>
      <c r="H32" s="15">
        <f>IF(G32="x",10,0)</f>
        <v>10</v>
      </c>
      <c r="I32" s="14"/>
      <c r="J32" s="15">
        <f>IF((I32="x"),-10,0)</f>
        <v>0</v>
      </c>
      <c r="K32" s="14"/>
      <c r="L32" s="15">
        <f>IF((K32="x"),-20,0)</f>
        <v>0</v>
      </c>
      <c r="M32" s="14"/>
      <c r="N32" s="15">
        <f>IF((M32="x"),-30,0)</f>
        <v>0</v>
      </c>
      <c r="O32" s="16">
        <f t="shared" si="4"/>
        <v>0</v>
      </c>
      <c r="P32" s="16">
        <f t="shared" si="5"/>
        <v>20</v>
      </c>
      <c r="Q32" s="16">
        <f t="shared" ref="Q32:Q39" si="56">IF(($Q$3&lt;&gt;0),$Q$3*-10,10)</f>
        <v>-40</v>
      </c>
      <c r="R32" s="14"/>
      <c r="S32" s="15">
        <f>R32*10</f>
        <v>0</v>
      </c>
      <c r="T32" s="14"/>
      <c r="U32" s="15">
        <f>T32*-15</f>
        <v>0</v>
      </c>
      <c r="V32" s="16">
        <f>IF(AND(R32=2),10,IF(R32=3,30,IF(R32=4,50,IF(R32=5,70,0))))</f>
        <v>0</v>
      </c>
      <c r="W32" s="17">
        <f>IF(G32="x",H32+J32+L32+N32+O32+P32+Q32+S32+U32+V32,0)</f>
        <v>-10</v>
      </c>
    </row>
    <row r="33" spans="1:23" ht="10.5" customHeight="1" x14ac:dyDescent="0.2">
      <c r="A33" s="11"/>
      <c r="B33" s="163">
        <f>COUNTA(Spieltag!K20:AA20)</f>
        <v>1</v>
      </c>
      <c r="C33" s="166">
        <f>Spieltag!A20</f>
        <v>8</v>
      </c>
      <c r="D33" s="21" t="str">
        <f>Spieltag!B20</f>
        <v>Leon Goretzka</v>
      </c>
      <c r="E33" s="12" t="str">
        <f>Spieltag!C20</f>
        <v>Mittelfeld</v>
      </c>
      <c r="F33" s="13" t="s">
        <v>54</v>
      </c>
      <c r="G33" s="14" t="s">
        <v>676</v>
      </c>
      <c r="H33" s="15">
        <f t="shared" ref="H33:H34" si="57">IF(G33="x",10,0)</f>
        <v>10</v>
      </c>
      <c r="I33" s="14"/>
      <c r="J33" s="15">
        <f t="shared" ref="J33:J34" si="58">IF((I33="x"),-10,0)</f>
        <v>0</v>
      </c>
      <c r="K33" s="14"/>
      <c r="L33" s="15">
        <f t="shared" ref="L33:L34" si="59">IF((K33="x"),-20,0)</f>
        <v>0</v>
      </c>
      <c r="M33" s="14"/>
      <c r="N33" s="15">
        <f t="shared" ref="N33:N34" si="60">IF((M33="x"),-30,0)</f>
        <v>0</v>
      </c>
      <c r="O33" s="16">
        <f t="shared" si="4"/>
        <v>0</v>
      </c>
      <c r="P33" s="16">
        <f t="shared" si="5"/>
        <v>20</v>
      </c>
      <c r="Q33" s="16">
        <f t="shared" si="56"/>
        <v>-40</v>
      </c>
      <c r="R33" s="14"/>
      <c r="S33" s="15">
        <f t="shared" ref="S33:S34" si="61">R33*10</f>
        <v>0</v>
      </c>
      <c r="T33" s="14"/>
      <c r="U33" s="15">
        <f t="shared" ref="U33:U34" si="62">T33*-15</f>
        <v>0</v>
      </c>
      <c r="V33" s="16">
        <f t="shared" ref="V33:V34" si="63">IF(AND(R33=2),10,IF(R33=3,30,IF(R33=4,50,IF(R33=5,70,0))))</f>
        <v>0</v>
      </c>
      <c r="W33" s="17">
        <f t="shared" ref="W33:W34" si="64">IF(G33="x",H33+J33+L33+N33+O33+P33+Q33+S33+U33+V33,0)</f>
        <v>-10</v>
      </c>
    </row>
    <row r="34" spans="1:23" ht="10.5" hidden="1" customHeight="1" x14ac:dyDescent="0.2">
      <c r="A34" s="11"/>
      <c r="B34" s="163">
        <f>COUNTA(Spieltag!K21:AA21)</f>
        <v>0</v>
      </c>
      <c r="C34" s="166">
        <f>Spieltag!A21</f>
        <v>27</v>
      </c>
      <c r="D34" s="21" t="str">
        <f>Spieltag!B21</f>
        <v>Konrad Laimer (A)</v>
      </c>
      <c r="E34" s="12" t="str">
        <f>Spieltag!C21</f>
        <v>Mittelfeld</v>
      </c>
      <c r="F34" s="13" t="s">
        <v>54</v>
      </c>
      <c r="G34" s="14"/>
      <c r="H34" s="15">
        <f t="shared" si="57"/>
        <v>0</v>
      </c>
      <c r="I34" s="14"/>
      <c r="J34" s="15">
        <f t="shared" si="58"/>
        <v>0</v>
      </c>
      <c r="K34" s="14"/>
      <c r="L34" s="15">
        <f t="shared" si="59"/>
        <v>0</v>
      </c>
      <c r="M34" s="14"/>
      <c r="N34" s="15">
        <f t="shared" si="60"/>
        <v>0</v>
      </c>
      <c r="O34" s="16">
        <f t="shared" si="4"/>
        <v>0</v>
      </c>
      <c r="P34" s="16">
        <f t="shared" si="5"/>
        <v>20</v>
      </c>
      <c r="Q34" s="16">
        <f t="shared" si="56"/>
        <v>-40</v>
      </c>
      <c r="R34" s="14"/>
      <c r="S34" s="15">
        <f t="shared" si="61"/>
        <v>0</v>
      </c>
      <c r="T34" s="14"/>
      <c r="U34" s="15">
        <f t="shared" si="62"/>
        <v>0</v>
      </c>
      <c r="V34" s="16">
        <f t="shared" si="63"/>
        <v>0</v>
      </c>
      <c r="W34" s="17">
        <f t="shared" si="64"/>
        <v>0</v>
      </c>
    </row>
    <row r="35" spans="1:23" ht="10.5" hidden="1" customHeight="1" x14ac:dyDescent="0.2">
      <c r="A35" s="11"/>
      <c r="B35" s="163">
        <f>COUNTA(Spieltag!K22:AA22)</f>
        <v>0</v>
      </c>
      <c r="C35" s="166">
        <f>Spieltag!A22</f>
        <v>34</v>
      </c>
      <c r="D35" s="21" t="str">
        <f>Spieltag!B22</f>
        <v>Lovro Zvonarek (A)</v>
      </c>
      <c r="E35" s="12" t="str">
        <f>Spieltag!C22</f>
        <v>Mittelfeld</v>
      </c>
      <c r="F35" s="13" t="s">
        <v>54</v>
      </c>
      <c r="G35" s="14"/>
      <c r="H35" s="15">
        <f t="shared" ref="H35" si="65">IF(G35="x",10,0)</f>
        <v>0</v>
      </c>
      <c r="I35" s="14"/>
      <c r="J35" s="15">
        <f t="shared" ref="J35" si="66">IF((I35="x"),-10,0)</f>
        <v>0</v>
      </c>
      <c r="K35" s="14"/>
      <c r="L35" s="15">
        <f t="shared" ref="L35" si="67">IF((K35="x"),-20,0)</f>
        <v>0</v>
      </c>
      <c r="M35" s="14"/>
      <c r="N35" s="15">
        <f t="shared" ref="N35" si="68">IF((M35="x"),-30,0)</f>
        <v>0</v>
      </c>
      <c r="O35" s="16">
        <f t="shared" si="4"/>
        <v>0</v>
      </c>
      <c r="P35" s="16">
        <f t="shared" si="5"/>
        <v>20</v>
      </c>
      <c r="Q35" s="16">
        <f t="shared" si="56"/>
        <v>-40</v>
      </c>
      <c r="R35" s="14"/>
      <c r="S35" s="15">
        <f t="shared" ref="S35" si="69">R35*10</f>
        <v>0</v>
      </c>
      <c r="T35" s="14"/>
      <c r="U35" s="15">
        <f t="shared" ref="U35" si="70">T35*-15</f>
        <v>0</v>
      </c>
      <c r="V35" s="16">
        <f t="shared" ref="V35" si="71">IF(AND(R35=2),10,IF(R35=3,30,IF(R35=4,50,IF(R35=5,70,0))))</f>
        <v>0</v>
      </c>
      <c r="W35" s="17">
        <f t="shared" ref="W35" si="72">IF(G35="x",H35+J35+L35+N35+O35+P35+Q35+S35+U35+V35,0)</f>
        <v>0</v>
      </c>
    </row>
    <row r="36" spans="1:23" ht="10.5" hidden="1" customHeight="1" x14ac:dyDescent="0.2">
      <c r="A36" s="11"/>
      <c r="B36" s="163">
        <f>COUNTA(Spieltag!K23:AA23)</f>
        <v>0</v>
      </c>
      <c r="C36" s="166">
        <f>Spieltag!A23</f>
        <v>36</v>
      </c>
      <c r="D36" s="21" t="str">
        <f>Spieltag!B23</f>
        <v>Noel Aeko Nkili</v>
      </c>
      <c r="E36" s="12" t="str">
        <f>Spieltag!C23</f>
        <v>Mittelfeld</v>
      </c>
      <c r="F36" s="13" t="s">
        <v>54</v>
      </c>
      <c r="G36" s="14"/>
      <c r="H36" s="15">
        <f t="shared" ref="H36" si="73">IF(G36="x",10,0)</f>
        <v>0</v>
      </c>
      <c r="I36" s="14"/>
      <c r="J36" s="15">
        <f t="shared" ref="J36" si="74">IF((I36="x"),-10,0)</f>
        <v>0</v>
      </c>
      <c r="K36" s="14"/>
      <c r="L36" s="15">
        <f t="shared" ref="L36" si="75">IF((K36="x"),-20,0)</f>
        <v>0</v>
      </c>
      <c r="M36" s="14"/>
      <c r="N36" s="15">
        <f t="shared" ref="N36" si="76">IF((M36="x"),-30,0)</f>
        <v>0</v>
      </c>
      <c r="O36" s="16">
        <f t="shared" si="4"/>
        <v>0</v>
      </c>
      <c r="P36" s="16">
        <f t="shared" si="5"/>
        <v>20</v>
      </c>
      <c r="Q36" s="16">
        <f t="shared" si="56"/>
        <v>-40</v>
      </c>
      <c r="R36" s="14"/>
      <c r="S36" s="15">
        <f t="shared" ref="S36" si="77">R36*10</f>
        <v>0</v>
      </c>
      <c r="T36" s="14"/>
      <c r="U36" s="15">
        <f t="shared" ref="U36" si="78">T36*-15</f>
        <v>0</v>
      </c>
      <c r="V36" s="16">
        <f t="shared" ref="V36" si="79">IF(AND(R36=2),10,IF(R36=3,30,IF(R36=4,50,IF(R36=5,70,0))))</f>
        <v>0</v>
      </c>
      <c r="W36" s="17">
        <f t="shared" ref="W36" si="80">IF(G36="x",H36+J36+L36+N36+O36+P36+Q36+S36+U36+V36,0)</f>
        <v>0</v>
      </c>
    </row>
    <row r="37" spans="1:23" ht="10.5" hidden="1" customHeight="1" x14ac:dyDescent="0.2">
      <c r="A37" s="11"/>
      <c r="B37" s="163">
        <f>COUNTA(Spieltag!K24:AA24)</f>
        <v>0</v>
      </c>
      <c r="C37" s="166">
        <f>Spieltag!A24</f>
        <v>37</v>
      </c>
      <c r="D37" s="21" t="str">
        <f>Spieltag!B24</f>
        <v>Luca Denk</v>
      </c>
      <c r="E37" s="12" t="str">
        <f>Spieltag!C24</f>
        <v>Mittelfeld</v>
      </c>
      <c r="F37" s="13" t="s">
        <v>54</v>
      </c>
      <c r="G37" s="14"/>
      <c r="H37" s="15">
        <f t="shared" ref="H37" si="81">IF(G37="x",10,0)</f>
        <v>0</v>
      </c>
      <c r="I37" s="14"/>
      <c r="J37" s="15">
        <f t="shared" ref="J37" si="82">IF((I37="x"),-10,0)</f>
        <v>0</v>
      </c>
      <c r="K37" s="14"/>
      <c r="L37" s="15">
        <f t="shared" ref="L37" si="83">IF((K37="x"),-20,0)</f>
        <v>0</v>
      </c>
      <c r="M37" s="14"/>
      <c r="N37" s="15">
        <f t="shared" ref="N37" si="84">IF((M37="x"),-30,0)</f>
        <v>0</v>
      </c>
      <c r="O37" s="16">
        <f t="shared" si="4"/>
        <v>0</v>
      </c>
      <c r="P37" s="16">
        <f t="shared" si="5"/>
        <v>20</v>
      </c>
      <c r="Q37" s="16">
        <f t="shared" si="56"/>
        <v>-40</v>
      </c>
      <c r="R37" s="14"/>
      <c r="S37" s="15">
        <f t="shared" ref="S37" si="85">R37*10</f>
        <v>0</v>
      </c>
      <c r="T37" s="14"/>
      <c r="U37" s="15">
        <f t="shared" ref="U37" si="86">T37*-15</f>
        <v>0</v>
      </c>
      <c r="V37" s="16">
        <f t="shared" ref="V37" si="87">IF(AND(R37=2),10,IF(R37=3,30,IF(R37=4,50,IF(R37=5,70,0))))</f>
        <v>0</v>
      </c>
      <c r="W37" s="17">
        <f t="shared" ref="W37" si="88">IF(G37="x",H37+J37+L37+N37+O37+P37+Q37+S37+U37+V37,0)</f>
        <v>0</v>
      </c>
    </row>
    <row r="38" spans="1:23" ht="10.5" hidden="1" customHeight="1" x14ac:dyDescent="0.2">
      <c r="A38" s="11"/>
      <c r="B38" s="163">
        <f>COUNTA(Spieltag!K25:AA25)</f>
        <v>0</v>
      </c>
      <c r="C38" s="166">
        <f>Spieltag!A25</f>
        <v>42</v>
      </c>
      <c r="D38" s="21" t="str">
        <f>Spieltag!B25</f>
        <v>Jamal Musiala</v>
      </c>
      <c r="E38" s="12" t="str">
        <f>Spieltag!C25</f>
        <v>Mittelfeld</v>
      </c>
      <c r="F38" s="13" t="s">
        <v>54</v>
      </c>
      <c r="G38" s="14"/>
      <c r="H38" s="15">
        <f t="shared" ref="H38:H39" si="89">IF(G38="x",10,0)</f>
        <v>0</v>
      </c>
      <c r="I38" s="14"/>
      <c r="J38" s="15">
        <f t="shared" ref="J38:J39" si="90">IF((I38="x"),-10,0)</f>
        <v>0</v>
      </c>
      <c r="K38" s="14"/>
      <c r="L38" s="15">
        <f t="shared" ref="L38:L39" si="91">IF((K38="x"),-20,0)</f>
        <v>0</v>
      </c>
      <c r="M38" s="14"/>
      <c r="N38" s="15">
        <f t="shared" ref="N38:N39" si="92">IF((M38="x"),-30,0)</f>
        <v>0</v>
      </c>
      <c r="O38" s="16">
        <f t="shared" si="4"/>
        <v>0</v>
      </c>
      <c r="P38" s="16">
        <f t="shared" si="5"/>
        <v>20</v>
      </c>
      <c r="Q38" s="16">
        <f t="shared" si="56"/>
        <v>-40</v>
      </c>
      <c r="R38" s="14"/>
      <c r="S38" s="15">
        <f t="shared" ref="S38:S39" si="93">R38*10</f>
        <v>0</v>
      </c>
      <c r="T38" s="14"/>
      <c r="U38" s="15">
        <f t="shared" ref="U38:U39" si="94">T38*-15</f>
        <v>0</v>
      </c>
      <c r="V38" s="16">
        <f t="shared" ref="V38:V39" si="95">IF(AND(R38=2),10,IF(R38=3,30,IF(R38=4,50,IF(R38=5,70,0))))</f>
        <v>0</v>
      </c>
      <c r="W38" s="17">
        <f t="shared" ref="W38:W39" si="96">IF(G38="x",H38+J38+L38+N38+O38+P38+Q38+S38+U38+V38,0)</f>
        <v>0</v>
      </c>
    </row>
    <row r="39" spans="1:23" ht="10.5" customHeight="1" x14ac:dyDescent="0.2">
      <c r="A39" s="11"/>
      <c r="B39" s="163">
        <f>COUNTA(Spieltag!K26:AA26)</f>
        <v>1</v>
      </c>
      <c r="C39" s="166">
        <f>Spieltag!A26</f>
        <v>45</v>
      </c>
      <c r="D39" s="21" t="str">
        <f>Spieltag!B26</f>
        <v>Aleksandar Pavlovic</v>
      </c>
      <c r="E39" s="12" t="str">
        <f>Spieltag!C26</f>
        <v>Mittelfeld</v>
      </c>
      <c r="F39" s="13" t="s">
        <v>54</v>
      </c>
      <c r="G39" s="14" t="s">
        <v>676</v>
      </c>
      <c r="H39" s="15">
        <f t="shared" si="89"/>
        <v>10</v>
      </c>
      <c r="I39" s="14"/>
      <c r="J39" s="15">
        <f t="shared" si="90"/>
        <v>0</v>
      </c>
      <c r="K39" s="14"/>
      <c r="L39" s="15">
        <f t="shared" si="91"/>
        <v>0</v>
      </c>
      <c r="M39" s="14"/>
      <c r="N39" s="15">
        <f t="shared" si="92"/>
        <v>0</v>
      </c>
      <c r="O39" s="16">
        <f t="shared" si="4"/>
        <v>0</v>
      </c>
      <c r="P39" s="16">
        <f t="shared" si="5"/>
        <v>20</v>
      </c>
      <c r="Q39" s="16">
        <f t="shared" si="56"/>
        <v>-40</v>
      </c>
      <c r="R39" s="14"/>
      <c r="S39" s="15">
        <f t="shared" si="93"/>
        <v>0</v>
      </c>
      <c r="T39" s="14"/>
      <c r="U39" s="15">
        <f t="shared" si="94"/>
        <v>0</v>
      </c>
      <c r="V39" s="16">
        <f t="shared" si="95"/>
        <v>0</v>
      </c>
      <c r="W39" s="17">
        <f t="shared" si="96"/>
        <v>-10</v>
      </c>
    </row>
    <row r="40" spans="1:23" ht="10.5" hidden="1" customHeight="1" x14ac:dyDescent="0.2">
      <c r="A40" s="11"/>
      <c r="B40" s="163">
        <f>COUNTA(Spieltag!K27:AA27)</f>
        <v>0</v>
      </c>
      <c r="C40" s="166">
        <f>Spieltag!A27</f>
        <v>7</v>
      </c>
      <c r="D40" s="21" t="str">
        <f>Spieltag!B27</f>
        <v>Serge Gnabry</v>
      </c>
      <c r="E40" s="12" t="str">
        <f>Spieltag!C27</f>
        <v>Sturm</v>
      </c>
      <c r="F40" s="13" t="s">
        <v>54</v>
      </c>
      <c r="G40" s="14"/>
      <c r="H40" s="15">
        <f>IF(G40="x",10,0)</f>
        <v>0</v>
      </c>
      <c r="I40" s="14"/>
      <c r="J40" s="15">
        <f>IF((I40="x"),-10,0)</f>
        <v>0</v>
      </c>
      <c r="K40" s="14"/>
      <c r="L40" s="15">
        <f>IF((K40="x"),-20,0)</f>
        <v>0</v>
      </c>
      <c r="M40" s="14"/>
      <c r="N40" s="15">
        <f>IF((M40="x"),-30,0)</f>
        <v>0</v>
      </c>
      <c r="O40" s="16">
        <f t="shared" si="4"/>
        <v>0</v>
      </c>
      <c r="P40" s="16">
        <f t="shared" si="5"/>
        <v>20</v>
      </c>
      <c r="Q40" s="16">
        <f>IF(($Q$3&lt;&gt;0),$Q$3*-10,5)</f>
        <v>-40</v>
      </c>
      <c r="R40" s="14"/>
      <c r="S40" s="15">
        <f>R40*10</f>
        <v>0</v>
      </c>
      <c r="T40" s="14"/>
      <c r="U40" s="15">
        <f>T40*-15</f>
        <v>0</v>
      </c>
      <c r="V40" s="16">
        <f>IF(AND(R40=2),10,IF(R40=3,30,IF(R40=4,50,IF(R40=5,70,0))))</f>
        <v>0</v>
      </c>
      <c r="W40" s="17">
        <f>IF(G40="x",H40+J40+L40+N40+O40+P40+Q40+S40+U40+V40,0)</f>
        <v>0</v>
      </c>
    </row>
    <row r="41" spans="1:23" ht="10.5" customHeight="1" x14ac:dyDescent="0.2">
      <c r="A41" s="11"/>
      <c r="B41" s="163">
        <f>COUNTA(Spieltag!K28:AA28)</f>
        <v>2</v>
      </c>
      <c r="C41" s="166">
        <f>Spieltag!A28</f>
        <v>9</v>
      </c>
      <c r="D41" s="21" t="str">
        <f>Spieltag!B28</f>
        <v>Harry Kane (A)</v>
      </c>
      <c r="E41" s="12" t="str">
        <f>Spieltag!C28</f>
        <v>Sturm</v>
      </c>
      <c r="F41" s="13" t="s">
        <v>54</v>
      </c>
      <c r="G41" s="14" t="s">
        <v>59</v>
      </c>
      <c r="H41" s="15">
        <f t="shared" ref="H41" si="97">IF(G41="x",10,0)</f>
        <v>0</v>
      </c>
      <c r="I41" s="14"/>
      <c r="J41" s="15">
        <f t="shared" ref="J41" si="98">IF((I41="x"),-10,0)</f>
        <v>0</v>
      </c>
      <c r="K41" s="14"/>
      <c r="L41" s="15">
        <f t="shared" ref="L41" si="99">IF((K41="x"),-20,0)</f>
        <v>0</v>
      </c>
      <c r="M41" s="14"/>
      <c r="N41" s="15">
        <f t="shared" ref="N41" si="100">IF((M41="x"),-30,0)</f>
        <v>0</v>
      </c>
      <c r="O41" s="16">
        <f t="shared" si="4"/>
        <v>0</v>
      </c>
      <c r="P41" s="16">
        <f t="shared" si="5"/>
        <v>20</v>
      </c>
      <c r="Q41" s="16">
        <f t="shared" ref="Q41:Q47" si="101">IF(($Q$3&lt;&gt;0),$Q$3*-10,5)</f>
        <v>-40</v>
      </c>
      <c r="R41" s="14"/>
      <c r="S41" s="15">
        <f t="shared" ref="S41" si="102">R41*10</f>
        <v>0</v>
      </c>
      <c r="T41" s="14"/>
      <c r="U41" s="15">
        <f t="shared" ref="U41" si="103">T41*-15</f>
        <v>0</v>
      </c>
      <c r="V41" s="16">
        <f t="shared" ref="V41" si="104">IF(AND(R41=2),10,IF(R41=3,30,IF(R41=4,50,IF(R41=5,70,0))))</f>
        <v>0</v>
      </c>
      <c r="W41" s="17">
        <f t="shared" ref="W41" si="105">IF(G41="x",H41+J41+L41+N41+O41+P41+Q41+S41+U41+V41,0)</f>
        <v>0</v>
      </c>
    </row>
    <row r="42" spans="1:23" ht="10.5" hidden="1" customHeight="1" x14ac:dyDescent="0.2">
      <c r="A42" s="11"/>
      <c r="B42" s="163">
        <f>COUNTA(Spieltag!K29:AA29)</f>
        <v>0</v>
      </c>
      <c r="C42" s="166">
        <f>Spieltag!A29</f>
        <v>10</v>
      </c>
      <c r="D42" s="21" t="str">
        <f>Spieltag!B29</f>
        <v>Leroy Sané</v>
      </c>
      <c r="E42" s="12" t="str">
        <f>Spieltag!C29</f>
        <v>Sturm</v>
      </c>
      <c r="F42" s="13" t="s">
        <v>54</v>
      </c>
      <c r="G42" s="14"/>
      <c r="H42" s="15">
        <f t="shared" ref="H42:H47" si="106">IF(G42="x",10,0)</f>
        <v>0</v>
      </c>
      <c r="I42" s="14"/>
      <c r="J42" s="15">
        <f t="shared" ref="J42:J47" si="107">IF((I42="x"),-10,0)</f>
        <v>0</v>
      </c>
      <c r="K42" s="14"/>
      <c r="L42" s="15">
        <f t="shared" ref="L42:L47" si="108">IF((K42="x"),-20,0)</f>
        <v>0</v>
      </c>
      <c r="M42" s="14"/>
      <c r="N42" s="15">
        <f t="shared" ref="N42:N47" si="109">IF((M42="x"),-30,0)</f>
        <v>0</v>
      </c>
      <c r="O42" s="16">
        <f t="shared" si="4"/>
        <v>0</v>
      </c>
      <c r="P42" s="16">
        <f t="shared" si="5"/>
        <v>20</v>
      </c>
      <c r="Q42" s="16">
        <f t="shared" si="101"/>
        <v>-40</v>
      </c>
      <c r="R42" s="14"/>
      <c r="S42" s="15">
        <f t="shared" ref="S42:S47" si="110">R42*10</f>
        <v>0</v>
      </c>
      <c r="T42" s="14"/>
      <c r="U42" s="15">
        <f t="shared" ref="U42:U47" si="111">T42*-15</f>
        <v>0</v>
      </c>
      <c r="V42" s="16">
        <f t="shared" ref="V42:V47" si="112">IF(AND(R42=2),10,IF(R42=3,30,IF(R42=4,50,IF(R42=5,70,0))))</f>
        <v>0</v>
      </c>
      <c r="W42" s="17">
        <f t="shared" ref="W42:W47" si="113">IF(G42="x",H42+J42+L42+N42+O42+P42+Q42+S42+U42+V42,0)</f>
        <v>0</v>
      </c>
    </row>
    <row r="43" spans="1:23" ht="10.5" hidden="1" customHeight="1" x14ac:dyDescent="0.2">
      <c r="A43" s="11"/>
      <c r="B43" s="163">
        <f>COUNTA(Spieltag!K30:AA30)</f>
        <v>0</v>
      </c>
      <c r="C43" s="166">
        <f>Spieltag!A30</f>
        <v>11</v>
      </c>
      <c r="D43" s="21" t="str">
        <f>Spieltag!B30</f>
        <v>Kingsley Coman (A)</v>
      </c>
      <c r="E43" s="12" t="str">
        <f>Spieltag!C30</f>
        <v>Sturm</v>
      </c>
      <c r="F43" s="13" t="s">
        <v>54</v>
      </c>
      <c r="G43" s="14"/>
      <c r="H43" s="15">
        <f t="shared" si="106"/>
        <v>0</v>
      </c>
      <c r="I43" s="14"/>
      <c r="J43" s="15">
        <f t="shared" si="107"/>
        <v>0</v>
      </c>
      <c r="K43" s="14"/>
      <c r="L43" s="15">
        <f t="shared" si="108"/>
        <v>0</v>
      </c>
      <c r="M43" s="14"/>
      <c r="N43" s="15">
        <f t="shared" si="109"/>
        <v>0</v>
      </c>
      <c r="O43" s="16">
        <f t="shared" si="4"/>
        <v>0</v>
      </c>
      <c r="P43" s="16">
        <f t="shared" si="5"/>
        <v>20</v>
      </c>
      <c r="Q43" s="16">
        <f t="shared" si="101"/>
        <v>-40</v>
      </c>
      <c r="R43" s="14"/>
      <c r="S43" s="15">
        <f t="shared" si="110"/>
        <v>0</v>
      </c>
      <c r="T43" s="14"/>
      <c r="U43" s="15">
        <f t="shared" si="111"/>
        <v>0</v>
      </c>
      <c r="V43" s="16">
        <f t="shared" si="112"/>
        <v>0</v>
      </c>
      <c r="W43" s="17">
        <f t="shared" si="113"/>
        <v>0</v>
      </c>
    </row>
    <row r="44" spans="1:23" ht="10.5" hidden="1" customHeight="1" x14ac:dyDescent="0.2">
      <c r="A44" s="11"/>
      <c r="B44" s="163">
        <f>COUNTA(Spieltag!K31:AA31)</f>
        <v>0</v>
      </c>
      <c r="C44" s="166">
        <f>Spieltag!A31</f>
        <v>13</v>
      </c>
      <c r="D44" s="21" t="str">
        <f>Spieltag!B31</f>
        <v>Eric-Maxim Choupo-Moting</v>
      </c>
      <c r="E44" s="12" t="str">
        <f>Spieltag!C31</f>
        <v>Sturm</v>
      </c>
      <c r="F44" s="13" t="s">
        <v>54</v>
      </c>
      <c r="G44" s="14"/>
      <c r="H44" s="15">
        <f t="shared" si="106"/>
        <v>0</v>
      </c>
      <c r="I44" s="14"/>
      <c r="J44" s="15">
        <f t="shared" si="107"/>
        <v>0</v>
      </c>
      <c r="K44" s="14"/>
      <c r="L44" s="15">
        <f t="shared" si="108"/>
        <v>0</v>
      </c>
      <c r="M44" s="14"/>
      <c r="N44" s="15">
        <f t="shared" si="109"/>
        <v>0</v>
      </c>
      <c r="O44" s="16">
        <f t="shared" si="4"/>
        <v>0</v>
      </c>
      <c r="P44" s="16">
        <f t="shared" si="5"/>
        <v>20</v>
      </c>
      <c r="Q44" s="16">
        <f t="shared" si="101"/>
        <v>-40</v>
      </c>
      <c r="R44" s="14"/>
      <c r="S44" s="15">
        <f t="shared" si="110"/>
        <v>0</v>
      </c>
      <c r="T44" s="14"/>
      <c r="U44" s="15">
        <f t="shared" si="111"/>
        <v>0</v>
      </c>
      <c r="V44" s="16">
        <f t="shared" si="112"/>
        <v>0</v>
      </c>
      <c r="W44" s="17">
        <f t="shared" si="113"/>
        <v>0</v>
      </c>
    </row>
    <row r="45" spans="1:23" ht="10.5" hidden="1" customHeight="1" x14ac:dyDescent="0.2">
      <c r="A45" s="11"/>
      <c r="B45" s="163">
        <f>COUNTA(Spieltag!K32:AA32)</f>
        <v>0</v>
      </c>
      <c r="C45" s="166">
        <f>Spieltag!A32</f>
        <v>17</v>
      </c>
      <c r="D45" s="21" t="str">
        <f>Spieltag!B32</f>
        <v>Bryan Zaragoza (A)</v>
      </c>
      <c r="E45" s="12" t="str">
        <f>Spieltag!C32</f>
        <v>Sturm</v>
      </c>
      <c r="F45" s="13" t="s">
        <v>54</v>
      </c>
      <c r="G45" s="14"/>
      <c r="H45" s="15">
        <f t="shared" ref="H45" si="114">IF(G45="x",10,0)</f>
        <v>0</v>
      </c>
      <c r="I45" s="14"/>
      <c r="J45" s="15">
        <f t="shared" ref="J45" si="115">IF((I45="x"),-10,0)</f>
        <v>0</v>
      </c>
      <c r="K45" s="14"/>
      <c r="L45" s="15">
        <f t="shared" ref="L45" si="116">IF((K45="x"),-20,0)</f>
        <v>0</v>
      </c>
      <c r="M45" s="14"/>
      <c r="N45" s="15">
        <f t="shared" ref="N45" si="117">IF((M45="x"),-30,0)</f>
        <v>0</v>
      </c>
      <c r="O45" s="16">
        <f t="shared" si="4"/>
        <v>0</v>
      </c>
      <c r="P45" s="16">
        <f t="shared" si="5"/>
        <v>20</v>
      </c>
      <c r="Q45" s="16">
        <f t="shared" si="101"/>
        <v>-40</v>
      </c>
      <c r="R45" s="14"/>
      <c r="S45" s="15">
        <f t="shared" ref="S45" si="118">R45*10</f>
        <v>0</v>
      </c>
      <c r="T45" s="14"/>
      <c r="U45" s="15">
        <f t="shared" ref="U45" si="119">T45*-15</f>
        <v>0</v>
      </c>
      <c r="V45" s="16">
        <f t="shared" ref="V45" si="120">IF(AND(R45=2),10,IF(R45=3,30,IF(R45=4,50,IF(R45=5,70,0))))</f>
        <v>0</v>
      </c>
      <c r="W45" s="17">
        <f t="shared" ref="W45" si="121">IF(G45="x",H45+J45+L45+N45+O45+P45+Q45+S45+U45+V45,0)</f>
        <v>0</v>
      </c>
    </row>
    <row r="46" spans="1:23" ht="10.5" customHeight="1" x14ac:dyDescent="0.2">
      <c r="A46" s="11"/>
      <c r="B46" s="163">
        <f>COUNTA(Spieltag!K33:AA33)</f>
        <v>2</v>
      </c>
      <c r="C46" s="166">
        <f>Spieltag!A33</f>
        <v>25</v>
      </c>
      <c r="D46" s="21" t="str">
        <f>Spieltag!B33</f>
        <v>Thomas Müller</v>
      </c>
      <c r="E46" s="12" t="str">
        <f>Spieltag!C33</f>
        <v>Sturm</v>
      </c>
      <c r="F46" s="13" t="s">
        <v>54</v>
      </c>
      <c r="G46" s="14" t="s">
        <v>676</v>
      </c>
      <c r="H46" s="15">
        <f t="shared" si="106"/>
        <v>10</v>
      </c>
      <c r="I46" s="14"/>
      <c r="J46" s="15">
        <f t="shared" si="107"/>
        <v>0</v>
      </c>
      <c r="K46" s="14"/>
      <c r="L46" s="15">
        <f t="shared" si="108"/>
        <v>0</v>
      </c>
      <c r="M46" s="14"/>
      <c r="N46" s="15">
        <f t="shared" si="109"/>
        <v>0</v>
      </c>
      <c r="O46" s="16">
        <f t="shared" si="4"/>
        <v>0</v>
      </c>
      <c r="P46" s="16">
        <f t="shared" si="5"/>
        <v>20</v>
      </c>
      <c r="Q46" s="16">
        <f t="shared" si="101"/>
        <v>-40</v>
      </c>
      <c r="R46" s="14"/>
      <c r="S46" s="15">
        <f t="shared" si="110"/>
        <v>0</v>
      </c>
      <c r="T46" s="14"/>
      <c r="U46" s="15">
        <f t="shared" si="111"/>
        <v>0</v>
      </c>
      <c r="V46" s="16">
        <f t="shared" si="112"/>
        <v>0</v>
      </c>
      <c r="W46" s="17">
        <f t="shared" si="113"/>
        <v>-10</v>
      </c>
    </row>
    <row r="47" spans="1:23" ht="10.5" customHeight="1" x14ac:dyDescent="0.2">
      <c r="A47" s="11"/>
      <c r="B47" s="163">
        <f>COUNTA(Spieltag!K34:AA34)</f>
        <v>1</v>
      </c>
      <c r="C47" s="166">
        <f>Spieltag!A34</f>
        <v>39</v>
      </c>
      <c r="D47" s="21" t="str">
        <f>Spieltag!B34</f>
        <v>Mathys Tel (A)</v>
      </c>
      <c r="E47" s="12" t="str">
        <f>Spieltag!C34</f>
        <v>Sturm</v>
      </c>
      <c r="F47" s="13" t="s">
        <v>54</v>
      </c>
      <c r="G47" s="14" t="s">
        <v>676</v>
      </c>
      <c r="H47" s="15">
        <f t="shared" si="106"/>
        <v>10</v>
      </c>
      <c r="I47" s="14"/>
      <c r="J47" s="15">
        <f t="shared" si="107"/>
        <v>0</v>
      </c>
      <c r="K47" s="14"/>
      <c r="L47" s="15">
        <f t="shared" si="108"/>
        <v>0</v>
      </c>
      <c r="M47" s="14"/>
      <c r="N47" s="15">
        <f t="shared" si="109"/>
        <v>0</v>
      </c>
      <c r="O47" s="16">
        <f t="shared" si="4"/>
        <v>0</v>
      </c>
      <c r="P47" s="16">
        <f t="shared" si="5"/>
        <v>20</v>
      </c>
      <c r="Q47" s="16">
        <f t="shared" si="101"/>
        <v>-40</v>
      </c>
      <c r="R47" s="14">
        <v>1</v>
      </c>
      <c r="S47" s="15">
        <f t="shared" si="110"/>
        <v>10</v>
      </c>
      <c r="T47" s="14"/>
      <c r="U47" s="15">
        <f t="shared" si="111"/>
        <v>0</v>
      </c>
      <c r="V47" s="16">
        <f t="shared" si="112"/>
        <v>0</v>
      </c>
      <c r="W47" s="17">
        <f t="shared" si="113"/>
        <v>0</v>
      </c>
    </row>
    <row r="48" spans="1:23" s="144" customFormat="1" ht="17.25" thickBot="1" x14ac:dyDescent="0.25">
      <c r="A48" s="142"/>
      <c r="B48" s="143">
        <f>SUM(B49:B82)</f>
        <v>16</v>
      </c>
      <c r="C48" s="158"/>
      <c r="D48" s="221" t="s">
        <v>32</v>
      </c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2"/>
    </row>
    <row r="49" spans="1:23" ht="10.5" customHeight="1" x14ac:dyDescent="0.2">
      <c r="A49" s="11"/>
      <c r="B49" s="149">
        <f>COUNTA(Spieltag!K36:AA36)</f>
        <v>1</v>
      </c>
      <c r="C49" s="166">
        <f>Spieltag!A36</f>
        <v>1</v>
      </c>
      <c r="D49" s="21" t="str">
        <f>Spieltag!B36</f>
        <v>Gregor Kobel (A)</v>
      </c>
      <c r="E49" s="12" t="str">
        <f>Spieltag!C36</f>
        <v>Torwart</v>
      </c>
      <c r="F49" s="13" t="s">
        <v>57</v>
      </c>
      <c r="G49" s="14" t="s">
        <v>676</v>
      </c>
      <c r="H49" s="15">
        <f>IF(G49="x",10,0)</f>
        <v>10</v>
      </c>
      <c r="I49" s="14"/>
      <c r="J49" s="15">
        <f>IF((I49="x"),-10,0)</f>
        <v>0</v>
      </c>
      <c r="K49" s="14"/>
      <c r="L49" s="15">
        <f>IF((K49="x"),-20,0)</f>
        <v>0</v>
      </c>
      <c r="M49" s="14"/>
      <c r="N49" s="15">
        <f>IF((M49="x"),-30,0)</f>
        <v>0</v>
      </c>
      <c r="O49" s="16">
        <f>IF(AND($P$5&gt;$Q$5),20,IF($P$5=$Q$5,10,0))</f>
        <v>20</v>
      </c>
      <c r="P49" s="16">
        <f>IF(($P$5&lt;&gt;0),$P$5*10,-5)</f>
        <v>40</v>
      </c>
      <c r="Q49" s="16">
        <f>IF(($Q$5&lt;&gt;0),$Q$5*-10,20)</f>
        <v>20</v>
      </c>
      <c r="R49" s="14"/>
      <c r="S49" s="15">
        <f>R49*20</f>
        <v>0</v>
      </c>
      <c r="T49" s="14"/>
      <c r="U49" s="15">
        <f>T49*-15</f>
        <v>0</v>
      </c>
      <c r="V49" s="16">
        <f>IF(AND(R49=2),10,IF(R49=3,30,IF(R49=4,50,IF(R49=5,70,0))))</f>
        <v>0</v>
      </c>
      <c r="W49" s="17">
        <f>IF(G49="x",H49+J49+L49+N49+O49+P49+Q49+S49+U49+V49,0)</f>
        <v>90</v>
      </c>
    </row>
    <row r="50" spans="1:23" ht="10.5" hidden="1" customHeight="1" x14ac:dyDescent="0.2">
      <c r="A50" s="11"/>
      <c r="B50" s="149">
        <f>COUNTA(Spieltag!K37:AA37)</f>
        <v>0</v>
      </c>
      <c r="C50" s="166">
        <f>Spieltag!A37</f>
        <v>31</v>
      </c>
      <c r="D50" s="21" t="str">
        <f>Spieltag!B37</f>
        <v>Silas Ostrzinski</v>
      </c>
      <c r="E50" s="12" t="str">
        <f>Spieltag!C37</f>
        <v>Torwart</v>
      </c>
      <c r="F50" s="13" t="s">
        <v>57</v>
      </c>
      <c r="G50" s="14"/>
      <c r="H50" s="15">
        <f t="shared" ref="H50" si="122">IF(G50="x",10,0)</f>
        <v>0</v>
      </c>
      <c r="I50" s="14"/>
      <c r="J50" s="15">
        <f t="shared" ref="J50" si="123">IF((I50="x"),-10,0)</f>
        <v>0</v>
      </c>
      <c r="K50" s="14"/>
      <c r="L50" s="15">
        <f t="shared" ref="L50" si="124">IF((K50="x"),-20,0)</f>
        <v>0</v>
      </c>
      <c r="M50" s="14"/>
      <c r="N50" s="15">
        <f t="shared" ref="N50" si="125">IF((M50="x"),-30,0)</f>
        <v>0</v>
      </c>
      <c r="O50" s="16">
        <f t="shared" ref="O50:O52" si="126">IF(AND($P$5&gt;$Q$5),20,IF($P$5=$Q$5,10,0))</f>
        <v>20</v>
      </c>
      <c r="P50" s="16">
        <f t="shared" ref="P50:P52" si="127">IF(($P$5&lt;&gt;0),$P$5*10,-5)</f>
        <v>40</v>
      </c>
      <c r="Q50" s="16">
        <f t="shared" ref="Q50:Q52" si="128">IF(($Q$5&lt;&gt;0),$Q$5*-10,20)</f>
        <v>20</v>
      </c>
      <c r="R50" s="14"/>
      <c r="S50" s="15">
        <f t="shared" ref="S50" si="129">R50*20</f>
        <v>0</v>
      </c>
      <c r="T50" s="14"/>
      <c r="U50" s="15">
        <f t="shared" ref="U50" si="130">T50*-15</f>
        <v>0</v>
      </c>
      <c r="V50" s="16">
        <f t="shared" ref="V50" si="131">IF(AND(R50=2),10,IF(R50=3,30,IF(R50=4,50,IF(R50=5,70,0))))</f>
        <v>0</v>
      </c>
      <c r="W50" s="17">
        <f t="shared" ref="W50" si="132">IF(G50="x",H50+J50+L50+N50+O50+P50+Q50+S50+U50+V50,0)</f>
        <v>0</v>
      </c>
    </row>
    <row r="51" spans="1:23" ht="10.5" hidden="1" customHeight="1" x14ac:dyDescent="0.2">
      <c r="A51" s="11"/>
      <c r="B51" s="149">
        <f>COUNTA(Spieltag!K38:AA38)</f>
        <v>0</v>
      </c>
      <c r="C51" s="166">
        <f>Spieltag!A38</f>
        <v>33</v>
      </c>
      <c r="D51" s="21" t="str">
        <f>Spieltag!B38</f>
        <v>Alexander Meyer</v>
      </c>
      <c r="E51" s="12" t="str">
        <f>Spieltag!C38</f>
        <v>Torwart</v>
      </c>
      <c r="F51" s="13" t="s">
        <v>57</v>
      </c>
      <c r="G51" s="14"/>
      <c r="H51" s="15">
        <f t="shared" ref="H51" si="133">IF(G51="x",10,0)</f>
        <v>0</v>
      </c>
      <c r="I51" s="14"/>
      <c r="J51" s="15">
        <f t="shared" ref="J51" si="134">IF((I51="x"),-10,0)</f>
        <v>0</v>
      </c>
      <c r="K51" s="14"/>
      <c r="L51" s="15">
        <f t="shared" ref="L51" si="135">IF((K51="x"),-20,0)</f>
        <v>0</v>
      </c>
      <c r="M51" s="14"/>
      <c r="N51" s="15">
        <f t="shared" ref="N51" si="136">IF((M51="x"),-30,0)</f>
        <v>0</v>
      </c>
      <c r="O51" s="16">
        <f t="shared" si="126"/>
        <v>20</v>
      </c>
      <c r="P51" s="16">
        <f t="shared" si="127"/>
        <v>40</v>
      </c>
      <c r="Q51" s="16">
        <f t="shared" si="128"/>
        <v>20</v>
      </c>
      <c r="R51" s="14"/>
      <c r="S51" s="15">
        <f t="shared" ref="S51" si="137">R51*20</f>
        <v>0</v>
      </c>
      <c r="T51" s="14"/>
      <c r="U51" s="15">
        <f t="shared" ref="U51" si="138">T51*-15</f>
        <v>0</v>
      </c>
      <c r="V51" s="16">
        <f t="shared" ref="V51" si="139">IF(AND(R51=2),10,IF(R51=3,30,IF(R51=4,50,IF(R51=5,70,0))))</f>
        <v>0</v>
      </c>
      <c r="W51" s="17">
        <f t="shared" ref="W51" si="140">IF(G51="x",H51+J51+L51+N51+O51+P51+Q51+S51+U51+V51,0)</f>
        <v>0</v>
      </c>
    </row>
    <row r="52" spans="1:23" ht="10.5" hidden="1" customHeight="1" x14ac:dyDescent="0.2">
      <c r="A52" s="11"/>
      <c r="B52" s="149">
        <f>COUNTA(Spieltag!K39:AA39)</f>
        <v>0</v>
      </c>
      <c r="C52" s="166">
        <f>Spieltag!A39</f>
        <v>35</v>
      </c>
      <c r="D52" s="21" t="str">
        <f>Spieltag!B39</f>
        <v>Marcel Lotka</v>
      </c>
      <c r="E52" s="12" t="str">
        <f>Spieltag!C39</f>
        <v>Torwart</v>
      </c>
      <c r="F52" s="13" t="s">
        <v>57</v>
      </c>
      <c r="G52" s="14"/>
      <c r="H52" s="15">
        <f t="shared" ref="H52" si="141">IF(G52="x",10,0)</f>
        <v>0</v>
      </c>
      <c r="I52" s="14"/>
      <c r="J52" s="15">
        <f t="shared" ref="J52" si="142">IF((I52="x"),-10,0)</f>
        <v>0</v>
      </c>
      <c r="K52" s="14"/>
      <c r="L52" s="15">
        <f t="shared" ref="L52" si="143">IF((K52="x"),-20,0)</f>
        <v>0</v>
      </c>
      <c r="M52" s="14"/>
      <c r="N52" s="15">
        <f t="shared" ref="N52" si="144">IF((M52="x"),-30,0)</f>
        <v>0</v>
      </c>
      <c r="O52" s="16">
        <f t="shared" si="126"/>
        <v>20</v>
      </c>
      <c r="P52" s="16">
        <f t="shared" si="127"/>
        <v>40</v>
      </c>
      <c r="Q52" s="16">
        <f t="shared" si="128"/>
        <v>20</v>
      </c>
      <c r="R52" s="14"/>
      <c r="S52" s="15">
        <f t="shared" ref="S52" si="145">R52*20</f>
        <v>0</v>
      </c>
      <c r="T52" s="14"/>
      <c r="U52" s="15">
        <f t="shared" ref="U52" si="146">T52*-15</f>
        <v>0</v>
      </c>
      <c r="V52" s="16">
        <f t="shared" ref="V52" si="147">IF(AND(R52=2),10,IF(R52=3,30,IF(R52=4,50,IF(R52=5,70,0))))</f>
        <v>0</v>
      </c>
      <c r="W52" s="17">
        <f t="shared" ref="W52" si="148">IF(G52="x",H52+J52+L52+N52+O52+P52+Q52+S52+U52+V52,0)</f>
        <v>0</v>
      </c>
    </row>
    <row r="53" spans="1:23" ht="10.5" hidden="1" customHeight="1" x14ac:dyDescent="0.2">
      <c r="A53" s="11"/>
      <c r="B53" s="149">
        <f>COUNTA(Spieltag!K40:AA40)</f>
        <v>0</v>
      </c>
      <c r="C53" s="166">
        <f>Spieltag!A40</f>
        <v>2</v>
      </c>
      <c r="D53" s="21" t="str">
        <f>Spieltag!B40</f>
        <v>Mateu Morey (A)</v>
      </c>
      <c r="E53" s="12" t="str">
        <f>Spieltag!C40</f>
        <v>Abwehr</v>
      </c>
      <c r="F53" s="13" t="s">
        <v>57</v>
      </c>
      <c r="G53" s="14"/>
      <c r="H53" s="15">
        <f t="shared" ref="H53" si="149">IF(G53="x",10,0)</f>
        <v>0</v>
      </c>
      <c r="I53" s="14"/>
      <c r="J53" s="15">
        <f t="shared" ref="J53" si="150">IF((I53="x"),-10,0)</f>
        <v>0</v>
      </c>
      <c r="K53" s="14"/>
      <c r="L53" s="15">
        <f t="shared" ref="L53" si="151">IF((K53="x"),-20,0)</f>
        <v>0</v>
      </c>
      <c r="M53" s="14"/>
      <c r="N53" s="15">
        <f t="shared" ref="N53" si="152">IF((M53="x"),-30,0)</f>
        <v>0</v>
      </c>
      <c r="O53" s="16">
        <f t="shared" ref="O53:O63" si="153">IF(AND($P$5&gt;$Q$5),20,IF($P$5=$Q$5,10,0))</f>
        <v>20</v>
      </c>
      <c r="P53" s="16">
        <f t="shared" ref="P53:P63" si="154">IF(($P$5&lt;&gt;0),$P$5*10,-5)</f>
        <v>40</v>
      </c>
      <c r="Q53" s="16">
        <f t="shared" ref="Q53:Q63" si="155">IF(($Q$5&lt;&gt;0),$Q$5*-10,15)</f>
        <v>15</v>
      </c>
      <c r="R53" s="14"/>
      <c r="S53" s="15">
        <f t="shared" ref="S53" si="156">R53*15</f>
        <v>0</v>
      </c>
      <c r="T53" s="14"/>
      <c r="U53" s="15">
        <f t="shared" ref="U53" si="157">T53*-15</f>
        <v>0</v>
      </c>
      <c r="V53" s="16">
        <f t="shared" ref="V53" si="158">IF(AND(R53=2),10,IF(R53=3,30,IF(R53=4,50,IF(R53=5,70,0))))</f>
        <v>0</v>
      </c>
      <c r="W53" s="17">
        <f t="shared" ref="W53" si="159">IF(G53="x",H53+J53+L53+N53+O53+P53+Q53+S53+U53+V53,0)</f>
        <v>0</v>
      </c>
    </row>
    <row r="54" spans="1:23" ht="10.5" customHeight="1" x14ac:dyDescent="0.2">
      <c r="A54" s="11"/>
      <c r="B54" s="149">
        <f>COUNTA(Spieltag!K41:AA41)</f>
        <v>3</v>
      </c>
      <c r="C54" s="166">
        <f>Spieltag!A41</f>
        <v>4</v>
      </c>
      <c r="D54" s="21" t="str">
        <f>Spieltag!B41</f>
        <v>Nico Schlotterbeck</v>
      </c>
      <c r="E54" s="12" t="str">
        <f>Spieltag!C41</f>
        <v>Abwehr</v>
      </c>
      <c r="F54" s="13" t="s">
        <v>57</v>
      </c>
      <c r="G54" s="14" t="s">
        <v>676</v>
      </c>
      <c r="H54" s="15">
        <f t="shared" ref="H54:H62" si="160">IF(G54="x",10,0)</f>
        <v>10</v>
      </c>
      <c r="I54" s="14"/>
      <c r="J54" s="15">
        <f t="shared" ref="J54:J62" si="161">IF((I54="x"),-10,0)</f>
        <v>0</v>
      </c>
      <c r="K54" s="14"/>
      <c r="L54" s="15">
        <f t="shared" ref="L54:L62" si="162">IF((K54="x"),-20,0)</f>
        <v>0</v>
      </c>
      <c r="M54" s="14"/>
      <c r="N54" s="15">
        <f t="shared" ref="N54:N62" si="163">IF((M54="x"),-30,0)</f>
        <v>0</v>
      </c>
      <c r="O54" s="16">
        <f t="shared" si="153"/>
        <v>20</v>
      </c>
      <c r="P54" s="16">
        <f t="shared" si="154"/>
        <v>40</v>
      </c>
      <c r="Q54" s="16">
        <f t="shared" si="155"/>
        <v>15</v>
      </c>
      <c r="R54" s="14"/>
      <c r="S54" s="15">
        <f t="shared" ref="S54:S62" si="164">R54*15</f>
        <v>0</v>
      </c>
      <c r="T54" s="14"/>
      <c r="U54" s="15">
        <f t="shared" ref="U54:U62" si="165">T54*-15</f>
        <v>0</v>
      </c>
      <c r="V54" s="16">
        <f t="shared" ref="V54:V62" si="166">IF(AND(R54=2),10,IF(R54=3,30,IF(R54=4,50,IF(R54=5,70,0))))</f>
        <v>0</v>
      </c>
      <c r="W54" s="17">
        <f t="shared" ref="W54:W62" si="167">IF(G54="x",H54+J54+L54+N54+O54+P54+Q54+S54+U54+V54,0)</f>
        <v>85</v>
      </c>
    </row>
    <row r="55" spans="1:23" ht="10.5" hidden="1" customHeight="1" x14ac:dyDescent="0.2">
      <c r="A55" s="11"/>
      <c r="B55" s="149">
        <f>COUNTA(Spieltag!K42:AA42)</f>
        <v>0</v>
      </c>
      <c r="C55" s="166">
        <f>Spieltag!A42</f>
        <v>5</v>
      </c>
      <c r="D55" s="21" t="str">
        <f>Spieltag!B42</f>
        <v>Ramy Bensebaini (A)</v>
      </c>
      <c r="E55" s="12" t="str">
        <f>Spieltag!C42</f>
        <v>Abwehr</v>
      </c>
      <c r="F55" s="13" t="s">
        <v>57</v>
      </c>
      <c r="G55" s="14"/>
      <c r="H55" s="15">
        <f t="shared" si="160"/>
        <v>0</v>
      </c>
      <c r="I55" s="14"/>
      <c r="J55" s="15">
        <f t="shared" si="161"/>
        <v>0</v>
      </c>
      <c r="K55" s="14"/>
      <c r="L55" s="15">
        <f t="shared" si="162"/>
        <v>0</v>
      </c>
      <c r="M55" s="14"/>
      <c r="N55" s="15">
        <f t="shared" si="163"/>
        <v>0</v>
      </c>
      <c r="O55" s="16">
        <f t="shared" si="153"/>
        <v>20</v>
      </c>
      <c r="P55" s="16">
        <f t="shared" si="154"/>
        <v>40</v>
      </c>
      <c r="Q55" s="16">
        <f t="shared" si="155"/>
        <v>15</v>
      </c>
      <c r="R55" s="14"/>
      <c r="S55" s="15">
        <f t="shared" si="164"/>
        <v>0</v>
      </c>
      <c r="T55" s="14"/>
      <c r="U55" s="15">
        <f t="shared" si="165"/>
        <v>0</v>
      </c>
      <c r="V55" s="16">
        <f t="shared" si="166"/>
        <v>0</v>
      </c>
      <c r="W55" s="17">
        <f t="shared" si="167"/>
        <v>0</v>
      </c>
    </row>
    <row r="56" spans="1:23" ht="10.5" hidden="1" customHeight="1" x14ac:dyDescent="0.2">
      <c r="A56" s="11"/>
      <c r="B56" s="149">
        <f>COUNTA(Spieltag!K43:AA43)</f>
        <v>0</v>
      </c>
      <c r="C56" s="166">
        <f>Spieltag!A43</f>
        <v>15</v>
      </c>
      <c r="D56" s="21" t="str">
        <f>Spieltag!B43</f>
        <v>Mats Hummels</v>
      </c>
      <c r="E56" s="12" t="str">
        <f>Spieltag!C43</f>
        <v>Abwehr</v>
      </c>
      <c r="F56" s="13" t="s">
        <v>57</v>
      </c>
      <c r="G56" s="14"/>
      <c r="H56" s="15">
        <f t="shared" si="160"/>
        <v>0</v>
      </c>
      <c r="I56" s="14"/>
      <c r="J56" s="15">
        <f t="shared" si="161"/>
        <v>0</v>
      </c>
      <c r="K56" s="14"/>
      <c r="L56" s="15">
        <f t="shared" si="162"/>
        <v>0</v>
      </c>
      <c r="M56" s="14"/>
      <c r="N56" s="15">
        <f t="shared" si="163"/>
        <v>0</v>
      </c>
      <c r="O56" s="16">
        <f t="shared" si="153"/>
        <v>20</v>
      </c>
      <c r="P56" s="16">
        <f t="shared" si="154"/>
        <v>40</v>
      </c>
      <c r="Q56" s="16">
        <f t="shared" si="155"/>
        <v>15</v>
      </c>
      <c r="R56" s="14"/>
      <c r="S56" s="15">
        <f t="shared" si="164"/>
        <v>0</v>
      </c>
      <c r="T56" s="14"/>
      <c r="U56" s="15">
        <f t="shared" si="165"/>
        <v>0</v>
      </c>
      <c r="V56" s="16">
        <f t="shared" si="166"/>
        <v>0</v>
      </c>
      <c r="W56" s="17">
        <f t="shared" si="167"/>
        <v>0</v>
      </c>
    </row>
    <row r="57" spans="1:23" ht="10.5" customHeight="1" x14ac:dyDescent="0.2">
      <c r="A57" s="11"/>
      <c r="B57" s="149">
        <f>COUNTA(Spieltag!K44:AA44)</f>
        <v>2</v>
      </c>
      <c r="C57" s="166">
        <f>Spieltag!A44</f>
        <v>17</v>
      </c>
      <c r="D57" s="21" t="str">
        <f>Spieltag!B44</f>
        <v>Marius Wolf</v>
      </c>
      <c r="E57" s="12" t="str">
        <f>Spieltag!C44</f>
        <v>Abwehr</v>
      </c>
      <c r="F57" s="13" t="s">
        <v>57</v>
      </c>
      <c r="G57" s="14" t="s">
        <v>676</v>
      </c>
      <c r="H57" s="15">
        <f t="shared" ref="H57:H58" si="168">IF(G57="x",10,0)</f>
        <v>10</v>
      </c>
      <c r="I57" s="14"/>
      <c r="J57" s="15">
        <f t="shared" ref="J57:J58" si="169">IF((I57="x"),-10,0)</f>
        <v>0</v>
      </c>
      <c r="K57" s="14"/>
      <c r="L57" s="15">
        <f t="shared" ref="L57:L58" si="170">IF((K57="x"),-20,0)</f>
        <v>0</v>
      </c>
      <c r="M57" s="14"/>
      <c r="N57" s="15">
        <f t="shared" ref="N57:N58" si="171">IF((M57="x"),-30,0)</f>
        <v>0</v>
      </c>
      <c r="O57" s="16">
        <f t="shared" si="153"/>
        <v>20</v>
      </c>
      <c r="P57" s="16">
        <f t="shared" si="154"/>
        <v>40</v>
      </c>
      <c r="Q57" s="16">
        <f t="shared" si="155"/>
        <v>15</v>
      </c>
      <c r="R57" s="14"/>
      <c r="S57" s="15">
        <f t="shared" ref="S57:S58" si="172">R57*15</f>
        <v>0</v>
      </c>
      <c r="T57" s="14"/>
      <c r="U57" s="15">
        <f t="shared" ref="U57:U58" si="173">T57*-15</f>
        <v>0</v>
      </c>
      <c r="V57" s="16">
        <f t="shared" ref="V57:V58" si="174">IF(AND(R57=2),10,IF(R57=3,30,IF(R57=4,50,IF(R57=5,70,0))))</f>
        <v>0</v>
      </c>
      <c r="W57" s="17">
        <f t="shared" ref="W57:W58" si="175">IF(G57="x",H57+J57+L57+N57+O57+P57+Q57+S57+U57+V57,0)</f>
        <v>85</v>
      </c>
    </row>
    <row r="58" spans="1:23" ht="10.5" hidden="1" customHeight="1" x14ac:dyDescent="0.2">
      <c r="A58" s="11"/>
      <c r="B58" s="149">
        <f>COUNTA(Spieltag!K45:AA45)</f>
        <v>0</v>
      </c>
      <c r="C58" s="166">
        <f>Spieltag!A45</f>
        <v>22</v>
      </c>
      <c r="D58" s="21" t="str">
        <f>Spieltag!B45</f>
        <v>Ian Maatsen (A)</v>
      </c>
      <c r="E58" s="12" t="str">
        <f>Spieltag!C45</f>
        <v>Abwehr</v>
      </c>
      <c r="F58" s="13" t="s">
        <v>57</v>
      </c>
      <c r="G58" s="14"/>
      <c r="H58" s="15">
        <f t="shared" si="168"/>
        <v>0</v>
      </c>
      <c r="I58" s="14"/>
      <c r="J58" s="15">
        <f t="shared" si="169"/>
        <v>0</v>
      </c>
      <c r="K58" s="14"/>
      <c r="L58" s="15">
        <f t="shared" si="170"/>
        <v>0</v>
      </c>
      <c r="M58" s="14"/>
      <c r="N58" s="15">
        <f t="shared" si="171"/>
        <v>0</v>
      </c>
      <c r="O58" s="16">
        <f t="shared" si="153"/>
        <v>20</v>
      </c>
      <c r="P58" s="16">
        <f t="shared" si="154"/>
        <v>40</v>
      </c>
      <c r="Q58" s="16">
        <f t="shared" si="155"/>
        <v>15</v>
      </c>
      <c r="R58" s="14"/>
      <c r="S58" s="15">
        <f t="shared" si="172"/>
        <v>0</v>
      </c>
      <c r="T58" s="14"/>
      <c r="U58" s="15">
        <f t="shared" si="173"/>
        <v>0</v>
      </c>
      <c r="V58" s="16">
        <f t="shared" si="174"/>
        <v>0</v>
      </c>
      <c r="W58" s="17">
        <f t="shared" si="175"/>
        <v>0</v>
      </c>
    </row>
    <row r="59" spans="1:23" ht="10.5" customHeight="1" x14ac:dyDescent="0.2">
      <c r="A59" s="11"/>
      <c r="B59" s="149">
        <f>COUNTA(Spieltag!K46:AA46)</f>
        <v>1</v>
      </c>
      <c r="C59" s="166">
        <f>Spieltag!A46</f>
        <v>25</v>
      </c>
      <c r="D59" s="21" t="str">
        <f>Spieltag!B46</f>
        <v>Niklas Süle</v>
      </c>
      <c r="E59" s="12" t="str">
        <f>Spieltag!C46</f>
        <v>Abwehr</v>
      </c>
      <c r="F59" s="13" t="s">
        <v>57</v>
      </c>
      <c r="G59" s="14" t="s">
        <v>59</v>
      </c>
      <c r="H59" s="15">
        <f t="shared" si="160"/>
        <v>0</v>
      </c>
      <c r="I59" s="14"/>
      <c r="J59" s="15">
        <f t="shared" si="161"/>
        <v>0</v>
      </c>
      <c r="K59" s="14"/>
      <c r="L59" s="15">
        <f t="shared" si="162"/>
        <v>0</v>
      </c>
      <c r="M59" s="14"/>
      <c r="N59" s="15">
        <f t="shared" si="163"/>
        <v>0</v>
      </c>
      <c r="O59" s="16">
        <f t="shared" si="153"/>
        <v>20</v>
      </c>
      <c r="P59" s="16">
        <f t="shared" si="154"/>
        <v>40</v>
      </c>
      <c r="Q59" s="16">
        <f t="shared" si="155"/>
        <v>15</v>
      </c>
      <c r="R59" s="14"/>
      <c r="S59" s="15">
        <f t="shared" si="164"/>
        <v>0</v>
      </c>
      <c r="T59" s="14"/>
      <c r="U59" s="15">
        <f t="shared" si="165"/>
        <v>0</v>
      </c>
      <c r="V59" s="16">
        <f t="shared" si="166"/>
        <v>0</v>
      </c>
      <c r="W59" s="17">
        <f t="shared" si="167"/>
        <v>0</v>
      </c>
    </row>
    <row r="60" spans="1:23" ht="10.5" hidden="1" customHeight="1" x14ac:dyDescent="0.2">
      <c r="A60" s="11"/>
      <c r="B60" s="149">
        <f>COUNTA(Spieltag!K47:AA47)</f>
        <v>0</v>
      </c>
      <c r="C60" s="166">
        <f>Spieltag!A47</f>
        <v>26</v>
      </c>
      <c r="D60" s="21" t="str">
        <f>Spieltag!B47</f>
        <v>Julian Ryerson (A)</v>
      </c>
      <c r="E60" s="12" t="str">
        <f>Spieltag!C47</f>
        <v>Abwehr</v>
      </c>
      <c r="F60" s="13" t="s">
        <v>57</v>
      </c>
      <c r="G60" s="14"/>
      <c r="H60" s="15">
        <f t="shared" si="160"/>
        <v>0</v>
      </c>
      <c r="I60" s="14"/>
      <c r="J60" s="15">
        <f t="shared" si="161"/>
        <v>0</v>
      </c>
      <c r="K60" s="14"/>
      <c r="L60" s="15">
        <f t="shared" si="162"/>
        <v>0</v>
      </c>
      <c r="M60" s="14"/>
      <c r="N60" s="15">
        <f t="shared" si="163"/>
        <v>0</v>
      </c>
      <c r="O60" s="16">
        <f t="shared" si="153"/>
        <v>20</v>
      </c>
      <c r="P60" s="16">
        <f t="shared" si="154"/>
        <v>40</v>
      </c>
      <c r="Q60" s="16">
        <f t="shared" si="155"/>
        <v>15</v>
      </c>
      <c r="R60" s="14"/>
      <c r="S60" s="15">
        <f t="shared" si="164"/>
        <v>0</v>
      </c>
      <c r="T60" s="14"/>
      <c r="U60" s="15">
        <f t="shared" si="165"/>
        <v>0</v>
      </c>
      <c r="V60" s="16">
        <f t="shared" si="166"/>
        <v>0</v>
      </c>
      <c r="W60" s="17">
        <f t="shared" si="167"/>
        <v>0</v>
      </c>
    </row>
    <row r="61" spans="1:23" ht="10.5" hidden="1" customHeight="1" x14ac:dyDescent="0.2">
      <c r="A61" s="11"/>
      <c r="B61" s="149">
        <f>COUNTA(Spieltag!K48:AA48)</f>
        <v>0</v>
      </c>
      <c r="C61" s="166">
        <f>Spieltag!A48</f>
        <v>44</v>
      </c>
      <c r="D61" s="21" t="str">
        <f>Spieltag!B48</f>
        <v>Soumalia Coulibaly (A)</v>
      </c>
      <c r="E61" s="12" t="str">
        <f>Spieltag!C48</f>
        <v>Abwehr</v>
      </c>
      <c r="F61" s="13" t="s">
        <v>57</v>
      </c>
      <c r="G61" s="14"/>
      <c r="H61" s="15">
        <f t="shared" si="160"/>
        <v>0</v>
      </c>
      <c r="I61" s="14"/>
      <c r="J61" s="15">
        <f t="shared" si="161"/>
        <v>0</v>
      </c>
      <c r="K61" s="14"/>
      <c r="L61" s="15">
        <f t="shared" si="162"/>
        <v>0</v>
      </c>
      <c r="M61" s="14"/>
      <c r="N61" s="15">
        <f t="shared" si="163"/>
        <v>0</v>
      </c>
      <c r="O61" s="16">
        <f t="shared" si="153"/>
        <v>20</v>
      </c>
      <c r="P61" s="16">
        <f t="shared" si="154"/>
        <v>40</v>
      </c>
      <c r="Q61" s="16">
        <f t="shared" si="155"/>
        <v>15</v>
      </c>
      <c r="R61" s="14"/>
      <c r="S61" s="15">
        <f t="shared" si="164"/>
        <v>0</v>
      </c>
      <c r="T61" s="14"/>
      <c r="U61" s="15">
        <f t="shared" si="165"/>
        <v>0</v>
      </c>
      <c r="V61" s="16">
        <f t="shared" si="166"/>
        <v>0</v>
      </c>
      <c r="W61" s="17">
        <f t="shared" si="167"/>
        <v>0</v>
      </c>
    </row>
    <row r="62" spans="1:23" ht="10.5" hidden="1" customHeight="1" x14ac:dyDescent="0.2">
      <c r="A62" s="11"/>
      <c r="B62" s="149">
        <f>COUNTA(Spieltag!K49:AA49)</f>
        <v>0</v>
      </c>
      <c r="C62" s="166">
        <f>Spieltag!A49</f>
        <v>45</v>
      </c>
      <c r="D62" s="21" t="str">
        <f>Spieltag!B49</f>
        <v>Guille Bueno (A)</v>
      </c>
      <c r="E62" s="12" t="str">
        <f>Spieltag!C49</f>
        <v>Abwehr</v>
      </c>
      <c r="F62" s="13" t="s">
        <v>57</v>
      </c>
      <c r="G62" s="14"/>
      <c r="H62" s="15">
        <f t="shared" si="160"/>
        <v>0</v>
      </c>
      <c r="I62" s="14"/>
      <c r="J62" s="15">
        <f t="shared" si="161"/>
        <v>0</v>
      </c>
      <c r="K62" s="14"/>
      <c r="L62" s="15">
        <f t="shared" si="162"/>
        <v>0</v>
      </c>
      <c r="M62" s="14"/>
      <c r="N62" s="15">
        <f t="shared" si="163"/>
        <v>0</v>
      </c>
      <c r="O62" s="16">
        <f t="shared" si="153"/>
        <v>20</v>
      </c>
      <c r="P62" s="16">
        <f t="shared" si="154"/>
        <v>40</v>
      </c>
      <c r="Q62" s="16">
        <f t="shared" si="155"/>
        <v>15</v>
      </c>
      <c r="R62" s="14"/>
      <c r="S62" s="15">
        <f t="shared" si="164"/>
        <v>0</v>
      </c>
      <c r="T62" s="14"/>
      <c r="U62" s="15">
        <f t="shared" si="165"/>
        <v>0</v>
      </c>
      <c r="V62" s="16">
        <f t="shared" si="166"/>
        <v>0</v>
      </c>
      <c r="W62" s="17">
        <f t="shared" si="167"/>
        <v>0</v>
      </c>
    </row>
    <row r="63" spans="1:23" ht="10.5" hidden="1" customHeight="1" x14ac:dyDescent="0.2">
      <c r="A63" s="11"/>
      <c r="B63" s="149">
        <f>COUNTA(Spieltag!K50:AA50)</f>
        <v>0</v>
      </c>
      <c r="C63" s="166">
        <f>Spieltag!A50</f>
        <v>47</v>
      </c>
      <c r="D63" s="21" t="str">
        <f>Spieltag!B50</f>
        <v>Antonis Papadopoulos</v>
      </c>
      <c r="E63" s="12" t="str">
        <f>Spieltag!C50</f>
        <v>Abwehr</v>
      </c>
      <c r="F63" s="13" t="s">
        <v>57</v>
      </c>
      <c r="G63" s="14"/>
      <c r="H63" s="15">
        <f t="shared" ref="H63" si="176">IF(G63="x",10,0)</f>
        <v>0</v>
      </c>
      <c r="I63" s="14"/>
      <c r="J63" s="15">
        <f t="shared" ref="J63" si="177">IF((I63="x"),-10,0)</f>
        <v>0</v>
      </c>
      <c r="K63" s="14"/>
      <c r="L63" s="15">
        <f t="shared" ref="L63" si="178">IF((K63="x"),-20,0)</f>
        <v>0</v>
      </c>
      <c r="M63" s="14"/>
      <c r="N63" s="15">
        <f t="shared" ref="N63" si="179">IF((M63="x"),-30,0)</f>
        <v>0</v>
      </c>
      <c r="O63" s="16">
        <f t="shared" si="153"/>
        <v>20</v>
      </c>
      <c r="P63" s="16">
        <f t="shared" si="154"/>
        <v>40</v>
      </c>
      <c r="Q63" s="16">
        <f t="shared" si="155"/>
        <v>15</v>
      </c>
      <c r="R63" s="14"/>
      <c r="S63" s="15">
        <f t="shared" ref="S63" si="180">R63*15</f>
        <v>0</v>
      </c>
      <c r="T63" s="14"/>
      <c r="U63" s="15">
        <f t="shared" ref="U63" si="181">T63*-15</f>
        <v>0</v>
      </c>
      <c r="V63" s="16">
        <f t="shared" ref="V63" si="182">IF(AND(R63=2),10,IF(R63=3,30,IF(R63=4,50,IF(R63=5,70,0))))</f>
        <v>0</v>
      </c>
      <c r="W63" s="17">
        <f t="shared" ref="W63" si="183">IF(G63="x",H63+J63+L63+N63+O63+P63+Q63+S63+U63+V63,0)</f>
        <v>0</v>
      </c>
    </row>
    <row r="64" spans="1:23" ht="10.5" hidden="1" customHeight="1" x14ac:dyDescent="0.2">
      <c r="A64" s="11" t="s">
        <v>81</v>
      </c>
      <c r="B64" s="149">
        <f>COUNTA(Spieltag!K51:AA51)</f>
        <v>0</v>
      </c>
      <c r="C64" s="166">
        <f>Spieltag!A51</f>
        <v>6</v>
      </c>
      <c r="D64" s="21" t="str">
        <f>Spieltag!B51</f>
        <v>Salih Özcan</v>
      </c>
      <c r="E64" s="12" t="str">
        <f>Spieltag!C51</f>
        <v>Mittelfeld</v>
      </c>
      <c r="F64" s="13" t="s">
        <v>57</v>
      </c>
      <c r="G64" s="14"/>
      <c r="H64" s="15">
        <f t="shared" ref="H64:H74" si="184">IF(G64="x",10,0)</f>
        <v>0</v>
      </c>
      <c r="I64" s="14"/>
      <c r="J64" s="15">
        <f t="shared" ref="J64:J74" si="185">IF((I64="x"),-10,0)</f>
        <v>0</v>
      </c>
      <c r="K64" s="14"/>
      <c r="L64" s="15">
        <f t="shared" ref="L64:L74" si="186">IF((K64="x"),-20,0)</f>
        <v>0</v>
      </c>
      <c r="M64" s="14"/>
      <c r="N64" s="15">
        <f t="shared" ref="N64:N74" si="187">IF((M64="x"),-30,0)</f>
        <v>0</v>
      </c>
      <c r="O64" s="16">
        <f t="shared" ref="O64:O82" si="188">IF(AND($P$5&gt;$Q$5),20,IF($P$5=$Q$5,10,0))</f>
        <v>20</v>
      </c>
      <c r="P64" s="16">
        <f t="shared" ref="P64:P82" si="189">IF(($P$5&lt;&gt;0),$P$5*10,-5)</f>
        <v>40</v>
      </c>
      <c r="Q64" s="16">
        <f t="shared" ref="Q64:Q74" si="190">IF(($Q$5&lt;&gt;0),$Q$5*-10,10)</f>
        <v>10</v>
      </c>
      <c r="R64" s="14"/>
      <c r="S64" s="15">
        <f t="shared" ref="S64:S74" si="191">R64*10</f>
        <v>0</v>
      </c>
      <c r="T64" s="14"/>
      <c r="U64" s="15">
        <f t="shared" ref="U64:U74" si="192">T64*-15</f>
        <v>0</v>
      </c>
      <c r="V64" s="16">
        <f t="shared" ref="V64:V74" si="193">IF(AND(R64=2),10,IF(R64=3,30,IF(R64=4,50,IF(R64=5,70,0))))</f>
        <v>0</v>
      </c>
      <c r="W64" s="17">
        <f t="shared" ref="W64:W74" si="194">IF(G64="x",H64+J64+L64+N64+O64+P64+Q64+S64+U64+V64,0)</f>
        <v>0</v>
      </c>
    </row>
    <row r="65" spans="1:23" ht="10.5" hidden="1" customHeight="1" x14ac:dyDescent="0.2">
      <c r="A65" s="11" t="s">
        <v>81</v>
      </c>
      <c r="B65" s="149">
        <f>COUNTA(Spieltag!K52:AA52)</f>
        <v>0</v>
      </c>
      <c r="C65" s="166">
        <f>Spieltag!A52</f>
        <v>8</v>
      </c>
      <c r="D65" s="21" t="str">
        <f>Spieltag!B52</f>
        <v>Felix Nmecha</v>
      </c>
      <c r="E65" s="12" t="str">
        <f>Spieltag!C52</f>
        <v>Mittelfeld</v>
      </c>
      <c r="F65" s="13" t="s">
        <v>57</v>
      </c>
      <c r="G65" s="14"/>
      <c r="H65" s="15">
        <f t="shared" si="184"/>
        <v>0</v>
      </c>
      <c r="I65" s="14"/>
      <c r="J65" s="15">
        <f t="shared" si="185"/>
        <v>0</v>
      </c>
      <c r="K65" s="14"/>
      <c r="L65" s="15">
        <f t="shared" si="186"/>
        <v>0</v>
      </c>
      <c r="M65" s="14"/>
      <c r="N65" s="15">
        <f t="shared" si="187"/>
        <v>0</v>
      </c>
      <c r="O65" s="16">
        <f t="shared" si="188"/>
        <v>20</v>
      </c>
      <c r="P65" s="16">
        <f t="shared" si="189"/>
        <v>40</v>
      </c>
      <c r="Q65" s="16">
        <f t="shared" si="190"/>
        <v>10</v>
      </c>
      <c r="R65" s="14"/>
      <c r="S65" s="15">
        <f t="shared" si="191"/>
        <v>0</v>
      </c>
      <c r="T65" s="14"/>
      <c r="U65" s="15">
        <f t="shared" si="192"/>
        <v>0</v>
      </c>
      <c r="V65" s="16">
        <f t="shared" si="193"/>
        <v>0</v>
      </c>
      <c r="W65" s="17">
        <f t="shared" si="194"/>
        <v>0</v>
      </c>
    </row>
    <row r="66" spans="1:23" ht="10.5" customHeight="1" x14ac:dyDescent="0.2">
      <c r="A66" s="11" t="s">
        <v>81</v>
      </c>
      <c r="B66" s="149">
        <f>COUNTA(Spieltag!K53:AA53)</f>
        <v>1</v>
      </c>
      <c r="C66" s="166">
        <f>Spieltag!A53</f>
        <v>10</v>
      </c>
      <c r="D66" s="21" t="str">
        <f>Spieltag!B53</f>
        <v>Jadon Sancho (A)</v>
      </c>
      <c r="E66" s="12" t="str">
        <f>Spieltag!C53</f>
        <v>Mittelfeld</v>
      </c>
      <c r="F66" s="13" t="s">
        <v>57</v>
      </c>
      <c r="G66" s="14" t="s">
        <v>676</v>
      </c>
      <c r="H66" s="15">
        <f t="shared" si="184"/>
        <v>10</v>
      </c>
      <c r="I66" s="14"/>
      <c r="J66" s="15">
        <f t="shared" si="185"/>
        <v>0</v>
      </c>
      <c r="K66" s="14"/>
      <c r="L66" s="15">
        <f t="shared" si="186"/>
        <v>0</v>
      </c>
      <c r="M66" s="14"/>
      <c r="N66" s="15">
        <f t="shared" si="187"/>
        <v>0</v>
      </c>
      <c r="O66" s="16">
        <f t="shared" si="188"/>
        <v>20</v>
      </c>
      <c r="P66" s="16">
        <f t="shared" si="189"/>
        <v>40</v>
      </c>
      <c r="Q66" s="16">
        <f t="shared" si="190"/>
        <v>10</v>
      </c>
      <c r="R66" s="14"/>
      <c r="S66" s="15">
        <f t="shared" si="191"/>
        <v>0</v>
      </c>
      <c r="T66" s="14"/>
      <c r="U66" s="15">
        <f t="shared" si="192"/>
        <v>0</v>
      </c>
      <c r="V66" s="16">
        <f t="shared" si="193"/>
        <v>0</v>
      </c>
      <c r="W66" s="17">
        <f t="shared" si="194"/>
        <v>80</v>
      </c>
    </row>
    <row r="67" spans="1:23" ht="10.5" customHeight="1" x14ac:dyDescent="0.2">
      <c r="A67" s="11" t="s">
        <v>81</v>
      </c>
      <c r="B67" s="149">
        <f>COUNTA(Spieltag!K54:AA54)</f>
        <v>7</v>
      </c>
      <c r="C67" s="166">
        <f>Spieltag!A54</f>
        <v>11</v>
      </c>
      <c r="D67" s="21" t="str">
        <f>Spieltag!B54</f>
        <v>Marco Reus</v>
      </c>
      <c r="E67" s="12" t="str">
        <f>Spieltag!C54</f>
        <v>Mittelfeld</v>
      </c>
      <c r="F67" s="13" t="s">
        <v>57</v>
      </c>
      <c r="G67" s="14" t="s">
        <v>676</v>
      </c>
      <c r="H67" s="15">
        <f t="shared" ref="H67" si="195">IF(G67="x",10,0)</f>
        <v>10</v>
      </c>
      <c r="I67" s="14"/>
      <c r="J67" s="15">
        <f t="shared" ref="J67" si="196">IF((I67="x"),-10,0)</f>
        <v>0</v>
      </c>
      <c r="K67" s="14"/>
      <c r="L67" s="15">
        <f t="shared" ref="L67" si="197">IF((K67="x"),-20,0)</f>
        <v>0</v>
      </c>
      <c r="M67" s="14"/>
      <c r="N67" s="15">
        <f t="shared" ref="N67" si="198">IF((M67="x"),-30,0)</f>
        <v>0</v>
      </c>
      <c r="O67" s="16">
        <f t="shared" si="188"/>
        <v>20</v>
      </c>
      <c r="P67" s="16">
        <f t="shared" si="189"/>
        <v>40</v>
      </c>
      <c r="Q67" s="16">
        <f t="shared" si="190"/>
        <v>10</v>
      </c>
      <c r="R67" s="14">
        <v>1</v>
      </c>
      <c r="S67" s="15">
        <f t="shared" ref="S67" si="199">R67*10</f>
        <v>10</v>
      </c>
      <c r="T67" s="14"/>
      <c r="U67" s="15">
        <f t="shared" ref="U67" si="200">T67*-15</f>
        <v>0</v>
      </c>
      <c r="V67" s="16">
        <f t="shared" ref="V67" si="201">IF(AND(R67=2),10,IF(R67=3,30,IF(R67=4,50,IF(R67=5,70,0))))</f>
        <v>0</v>
      </c>
      <c r="W67" s="17">
        <f t="shared" ref="W67" si="202">IF(G67="x",H67+J67+L67+N67+O67+P67+Q67+S67+U67+V67,0)</f>
        <v>90</v>
      </c>
    </row>
    <row r="68" spans="1:23" ht="10.5" hidden="1" customHeight="1" x14ac:dyDescent="0.2">
      <c r="A68" s="11" t="s">
        <v>81</v>
      </c>
      <c r="B68" s="149">
        <f>COUNTA(Spieltag!K55:AA55)</f>
        <v>0</v>
      </c>
      <c r="C68" s="166">
        <f>Spieltag!A55</f>
        <v>19</v>
      </c>
      <c r="D68" s="21" t="str">
        <f>Spieltag!B55</f>
        <v>Julian Brandt</v>
      </c>
      <c r="E68" s="12" t="str">
        <f>Spieltag!C55</f>
        <v>Mittelfeld</v>
      </c>
      <c r="F68" s="13" t="s">
        <v>57</v>
      </c>
      <c r="G68" s="14"/>
      <c r="H68" s="15">
        <f t="shared" si="184"/>
        <v>0</v>
      </c>
      <c r="I68" s="14"/>
      <c r="J68" s="15">
        <f t="shared" si="185"/>
        <v>0</v>
      </c>
      <c r="K68" s="14"/>
      <c r="L68" s="15">
        <f t="shared" si="186"/>
        <v>0</v>
      </c>
      <c r="M68" s="14"/>
      <c r="N68" s="15">
        <f t="shared" si="187"/>
        <v>0</v>
      </c>
      <c r="O68" s="16">
        <f t="shared" si="188"/>
        <v>20</v>
      </c>
      <c r="P68" s="16">
        <f t="shared" si="189"/>
        <v>40</v>
      </c>
      <c r="Q68" s="16">
        <f t="shared" si="190"/>
        <v>10</v>
      </c>
      <c r="R68" s="14"/>
      <c r="S68" s="15">
        <f t="shared" si="191"/>
        <v>0</v>
      </c>
      <c r="T68" s="14"/>
      <c r="U68" s="15">
        <f t="shared" si="192"/>
        <v>0</v>
      </c>
      <c r="V68" s="16">
        <f t="shared" si="193"/>
        <v>0</v>
      </c>
      <c r="W68" s="17">
        <f t="shared" si="194"/>
        <v>0</v>
      </c>
    </row>
    <row r="69" spans="1:23" ht="10.5" hidden="1" customHeight="1" x14ac:dyDescent="0.2">
      <c r="A69" s="11" t="s">
        <v>81</v>
      </c>
      <c r="B69" s="149">
        <f>COUNTA(Spieltag!K56:AA56)</f>
        <v>0</v>
      </c>
      <c r="C69" s="166">
        <f>Spieltag!A56</f>
        <v>20</v>
      </c>
      <c r="D69" s="21" t="str">
        <f>Spieltag!B56</f>
        <v>Marcel Sabitzer (A)</v>
      </c>
      <c r="E69" s="12" t="str">
        <f>Spieltag!C56</f>
        <v>Mittelfeld</v>
      </c>
      <c r="F69" s="13" t="s">
        <v>57</v>
      </c>
      <c r="G69" s="14"/>
      <c r="H69" s="15">
        <f t="shared" si="184"/>
        <v>0</v>
      </c>
      <c r="I69" s="14"/>
      <c r="J69" s="15">
        <f t="shared" si="185"/>
        <v>0</v>
      </c>
      <c r="K69" s="14"/>
      <c r="L69" s="15">
        <f t="shared" si="186"/>
        <v>0</v>
      </c>
      <c r="M69" s="14"/>
      <c r="N69" s="15">
        <f t="shared" si="187"/>
        <v>0</v>
      </c>
      <c r="O69" s="16">
        <f t="shared" si="188"/>
        <v>20</v>
      </c>
      <c r="P69" s="16">
        <f t="shared" si="189"/>
        <v>40</v>
      </c>
      <c r="Q69" s="16">
        <f t="shared" si="190"/>
        <v>10</v>
      </c>
      <c r="R69" s="14"/>
      <c r="S69" s="15">
        <f t="shared" si="191"/>
        <v>0</v>
      </c>
      <c r="T69" s="14"/>
      <c r="U69" s="15">
        <f t="shared" si="192"/>
        <v>0</v>
      </c>
      <c r="V69" s="16">
        <f t="shared" si="193"/>
        <v>0</v>
      </c>
      <c r="W69" s="17">
        <f t="shared" si="194"/>
        <v>0</v>
      </c>
    </row>
    <row r="70" spans="1:23" ht="10.5" customHeight="1" x14ac:dyDescent="0.2">
      <c r="A70" s="11" t="s">
        <v>81</v>
      </c>
      <c r="B70" s="149">
        <f>COUNTA(Spieltag!K57:AA57)</f>
        <v>1</v>
      </c>
      <c r="C70" s="166">
        <f>Spieltag!A57</f>
        <v>23</v>
      </c>
      <c r="D70" s="21" t="str">
        <f>Spieltag!B57</f>
        <v>Emre Can</v>
      </c>
      <c r="E70" s="12" t="str">
        <f>Spieltag!C57</f>
        <v>Mittelfeld</v>
      </c>
      <c r="F70" s="13" t="s">
        <v>57</v>
      </c>
      <c r="G70" s="14" t="s">
        <v>676</v>
      </c>
      <c r="H70" s="15">
        <f t="shared" si="184"/>
        <v>10</v>
      </c>
      <c r="I70" s="14"/>
      <c r="J70" s="15">
        <f t="shared" si="185"/>
        <v>0</v>
      </c>
      <c r="K70" s="14"/>
      <c r="L70" s="15">
        <f t="shared" si="186"/>
        <v>0</v>
      </c>
      <c r="M70" s="14"/>
      <c r="N70" s="15">
        <f t="shared" si="187"/>
        <v>0</v>
      </c>
      <c r="O70" s="16">
        <f t="shared" si="188"/>
        <v>20</v>
      </c>
      <c r="P70" s="16">
        <f t="shared" si="189"/>
        <v>40</v>
      </c>
      <c r="Q70" s="16">
        <f t="shared" si="190"/>
        <v>10</v>
      </c>
      <c r="R70" s="14"/>
      <c r="S70" s="15">
        <f t="shared" si="191"/>
        <v>0</v>
      </c>
      <c r="T70" s="14"/>
      <c r="U70" s="15">
        <f t="shared" si="192"/>
        <v>0</v>
      </c>
      <c r="V70" s="16">
        <f t="shared" si="193"/>
        <v>0</v>
      </c>
      <c r="W70" s="17">
        <f t="shared" si="194"/>
        <v>80</v>
      </c>
    </row>
    <row r="71" spans="1:23" ht="10.5" hidden="1" customHeight="1" x14ac:dyDescent="0.2">
      <c r="A71" s="11" t="s">
        <v>81</v>
      </c>
      <c r="B71" s="149">
        <f>COUNTA(Spieltag!K58:AA58)</f>
        <v>0</v>
      </c>
      <c r="C71" s="166">
        <f>Spieltag!A58</f>
        <v>30</v>
      </c>
      <c r="D71" s="21" t="str">
        <f>Spieltag!B58</f>
        <v>Ole Pohlmann</v>
      </c>
      <c r="E71" s="12" t="str">
        <f>Spieltag!C58</f>
        <v>Mittelfeld</v>
      </c>
      <c r="F71" s="13" t="s">
        <v>57</v>
      </c>
      <c r="G71" s="14"/>
      <c r="H71" s="15">
        <f t="shared" si="184"/>
        <v>0</v>
      </c>
      <c r="I71" s="14"/>
      <c r="J71" s="15">
        <f t="shared" si="185"/>
        <v>0</v>
      </c>
      <c r="K71" s="14"/>
      <c r="L71" s="15">
        <f t="shared" si="186"/>
        <v>0</v>
      </c>
      <c r="M71" s="14"/>
      <c r="N71" s="15">
        <f t="shared" si="187"/>
        <v>0</v>
      </c>
      <c r="O71" s="16">
        <f t="shared" si="188"/>
        <v>20</v>
      </c>
      <c r="P71" s="16">
        <f t="shared" si="189"/>
        <v>40</v>
      </c>
      <c r="Q71" s="16">
        <f t="shared" si="190"/>
        <v>10</v>
      </c>
      <c r="R71" s="14"/>
      <c r="S71" s="15">
        <f t="shared" si="191"/>
        <v>0</v>
      </c>
      <c r="T71" s="14"/>
      <c r="U71" s="15">
        <f t="shared" si="192"/>
        <v>0</v>
      </c>
      <c r="V71" s="16">
        <f t="shared" si="193"/>
        <v>0</v>
      </c>
      <c r="W71" s="17">
        <f t="shared" si="194"/>
        <v>0</v>
      </c>
    </row>
    <row r="72" spans="1:23" ht="10.5" hidden="1" customHeight="1" x14ac:dyDescent="0.2">
      <c r="A72" s="11" t="s">
        <v>81</v>
      </c>
      <c r="B72" s="149">
        <f>COUNTA(Spieltag!K59:AA59)</f>
        <v>0</v>
      </c>
      <c r="C72" s="166">
        <f>Spieltag!A59</f>
        <v>32</v>
      </c>
      <c r="D72" s="21" t="str">
        <f>Spieltag!B59</f>
        <v>Abdoulaye Kamara (A)</v>
      </c>
      <c r="E72" s="12" t="str">
        <f>Spieltag!C59</f>
        <v>Mittelfeld</v>
      </c>
      <c r="F72" s="13" t="s">
        <v>57</v>
      </c>
      <c r="G72" s="14"/>
      <c r="H72" s="15">
        <f t="shared" si="184"/>
        <v>0</v>
      </c>
      <c r="I72" s="14"/>
      <c r="J72" s="15">
        <f t="shared" si="185"/>
        <v>0</v>
      </c>
      <c r="K72" s="14"/>
      <c r="L72" s="15">
        <f t="shared" si="186"/>
        <v>0</v>
      </c>
      <c r="M72" s="14"/>
      <c r="N72" s="15">
        <f t="shared" si="187"/>
        <v>0</v>
      </c>
      <c r="O72" s="16">
        <f t="shared" si="188"/>
        <v>20</v>
      </c>
      <c r="P72" s="16">
        <f t="shared" si="189"/>
        <v>40</v>
      </c>
      <c r="Q72" s="16">
        <f t="shared" si="190"/>
        <v>10</v>
      </c>
      <c r="R72" s="14"/>
      <c r="S72" s="15">
        <f t="shared" si="191"/>
        <v>0</v>
      </c>
      <c r="T72" s="14"/>
      <c r="U72" s="15">
        <f t="shared" si="192"/>
        <v>0</v>
      </c>
      <c r="V72" s="16">
        <f t="shared" si="193"/>
        <v>0</v>
      </c>
      <c r="W72" s="17">
        <f t="shared" si="194"/>
        <v>0</v>
      </c>
    </row>
    <row r="73" spans="1:23" ht="10.5" hidden="1" customHeight="1" x14ac:dyDescent="0.2">
      <c r="A73" s="11" t="s">
        <v>81</v>
      </c>
      <c r="B73" s="149">
        <f>COUNTA(Spieltag!K60:AA60)</f>
        <v>0</v>
      </c>
      <c r="C73" s="166">
        <f>Spieltag!A60</f>
        <v>38</v>
      </c>
      <c r="D73" s="21" t="str">
        <f>Spieltag!B60</f>
        <v>Kjell Wätjen</v>
      </c>
      <c r="E73" s="12" t="str">
        <f>Spieltag!C60</f>
        <v>Mittelfeld</v>
      </c>
      <c r="F73" s="13" t="s">
        <v>57</v>
      </c>
      <c r="G73" s="14"/>
      <c r="H73" s="15">
        <f t="shared" ref="H73" si="203">IF(G73="x",10,0)</f>
        <v>0</v>
      </c>
      <c r="I73" s="14"/>
      <c r="J73" s="15">
        <f t="shared" ref="J73" si="204">IF((I73="x"),-10,0)</f>
        <v>0</v>
      </c>
      <c r="K73" s="14"/>
      <c r="L73" s="15">
        <f t="shared" ref="L73" si="205">IF((K73="x"),-20,0)</f>
        <v>0</v>
      </c>
      <c r="M73" s="14"/>
      <c r="N73" s="15">
        <f t="shared" ref="N73" si="206">IF((M73="x"),-30,0)</f>
        <v>0</v>
      </c>
      <c r="O73" s="16">
        <f t="shared" si="188"/>
        <v>20</v>
      </c>
      <c r="P73" s="16">
        <f t="shared" si="189"/>
        <v>40</v>
      </c>
      <c r="Q73" s="16">
        <f t="shared" si="190"/>
        <v>10</v>
      </c>
      <c r="R73" s="14"/>
      <c r="S73" s="15">
        <f t="shared" ref="S73" si="207">R73*10</f>
        <v>0</v>
      </c>
      <c r="T73" s="14"/>
      <c r="U73" s="15">
        <f t="shared" ref="U73" si="208">T73*-15</f>
        <v>0</v>
      </c>
      <c r="V73" s="16">
        <f t="shared" ref="V73" si="209">IF(AND(R73=2),10,IF(R73=3,30,IF(R73=4,50,IF(R73=5,70,0))))</f>
        <v>0</v>
      </c>
      <c r="W73" s="17">
        <f t="shared" ref="W73" si="210">IF(G73="x",H73+J73+L73+N73+O73+P73+Q73+S73+U73+V73,0)</f>
        <v>0</v>
      </c>
    </row>
    <row r="74" spans="1:23" ht="10.5" hidden="1" customHeight="1" x14ac:dyDescent="0.2">
      <c r="A74" s="11" t="s">
        <v>81</v>
      </c>
      <c r="B74" s="149">
        <f>COUNTA(Spieltag!K61:AA61)</f>
        <v>0</v>
      </c>
      <c r="C74" s="166">
        <f>Spieltag!A61</f>
        <v>48</v>
      </c>
      <c r="D74" s="21" t="str">
        <f>Spieltag!B61</f>
        <v>Samuel Bamba</v>
      </c>
      <c r="E74" s="12" t="str">
        <f>Spieltag!C61</f>
        <v>Mittelfeld</v>
      </c>
      <c r="F74" s="13" t="s">
        <v>57</v>
      </c>
      <c r="G74" s="14"/>
      <c r="H74" s="15">
        <f t="shared" si="184"/>
        <v>0</v>
      </c>
      <c r="I74" s="14"/>
      <c r="J74" s="15">
        <f t="shared" si="185"/>
        <v>0</v>
      </c>
      <c r="K74" s="14"/>
      <c r="L74" s="15">
        <f t="shared" si="186"/>
        <v>0</v>
      </c>
      <c r="M74" s="14"/>
      <c r="N74" s="15">
        <f t="shared" si="187"/>
        <v>0</v>
      </c>
      <c r="O74" s="16">
        <f t="shared" si="188"/>
        <v>20</v>
      </c>
      <c r="P74" s="16">
        <f t="shared" si="189"/>
        <v>40</v>
      </c>
      <c r="Q74" s="16">
        <f t="shared" si="190"/>
        <v>10</v>
      </c>
      <c r="R74" s="14"/>
      <c r="S74" s="15">
        <f t="shared" si="191"/>
        <v>0</v>
      </c>
      <c r="T74" s="14"/>
      <c r="U74" s="15">
        <f t="shared" si="192"/>
        <v>0</v>
      </c>
      <c r="V74" s="16">
        <f t="shared" si="193"/>
        <v>0</v>
      </c>
      <c r="W74" s="17">
        <f t="shared" si="194"/>
        <v>0</v>
      </c>
    </row>
    <row r="75" spans="1:23" ht="10.5" hidden="1" customHeight="1" x14ac:dyDescent="0.2">
      <c r="A75" s="11"/>
      <c r="B75" s="149">
        <f>COUNTA(Spieltag!K62:AA62)</f>
        <v>0</v>
      </c>
      <c r="C75" s="166">
        <f>Spieltag!A62</f>
        <v>9</v>
      </c>
      <c r="D75" s="21" t="str">
        <f>Spieltag!B62</f>
        <v>Sebastien Haller (A)</v>
      </c>
      <c r="E75" s="12" t="str">
        <f>Spieltag!C62</f>
        <v>Sturm</v>
      </c>
      <c r="F75" s="13" t="s">
        <v>57</v>
      </c>
      <c r="G75" s="14"/>
      <c r="H75" s="15">
        <f t="shared" ref="H75:H77" si="211">IF(G75="x",10,0)</f>
        <v>0</v>
      </c>
      <c r="I75" s="14"/>
      <c r="J75" s="15">
        <f t="shared" ref="J75:J77" si="212">IF((I75="x"),-10,0)</f>
        <v>0</v>
      </c>
      <c r="K75" s="14"/>
      <c r="L75" s="15">
        <f t="shared" ref="L75:L77" si="213">IF((K75="x"),-20,0)</f>
        <v>0</v>
      </c>
      <c r="M75" s="14"/>
      <c r="N75" s="15">
        <f t="shared" ref="N75:N77" si="214">IF((M75="x"),-30,0)</f>
        <v>0</v>
      </c>
      <c r="O75" s="16">
        <f t="shared" si="188"/>
        <v>20</v>
      </c>
      <c r="P75" s="16">
        <f t="shared" si="189"/>
        <v>40</v>
      </c>
      <c r="Q75" s="16">
        <f t="shared" ref="Q75:Q82" si="215">IF(($Q$5&lt;&gt;0),$Q$5*-10,5)</f>
        <v>5</v>
      </c>
      <c r="R75" s="14"/>
      <c r="S75" s="15">
        <f t="shared" ref="S75:S77" si="216">R75*10</f>
        <v>0</v>
      </c>
      <c r="T75" s="14"/>
      <c r="U75" s="15">
        <f t="shared" ref="U75:U77" si="217">T75*-15</f>
        <v>0</v>
      </c>
      <c r="V75" s="16">
        <f t="shared" ref="V75:V77" si="218">IF(AND(R75=2),10,IF(R75=3,30,IF(R75=4,50,IF(R75=5,70,0))))</f>
        <v>0</v>
      </c>
      <c r="W75" s="17">
        <f t="shared" ref="W75:W77" si="219">IF(G75="x",H75+J75+L75+N75+O75+P75+Q75+S75+U75+V75,0)</f>
        <v>0</v>
      </c>
    </row>
    <row r="76" spans="1:23" ht="10.5" hidden="1" customHeight="1" x14ac:dyDescent="0.2">
      <c r="A76" s="11"/>
      <c r="B76" s="149">
        <f>COUNTA(Spieltag!K63:AA63)</f>
        <v>0</v>
      </c>
      <c r="C76" s="166">
        <f>Spieltag!A63</f>
        <v>14</v>
      </c>
      <c r="D76" s="21" t="str">
        <f>Spieltag!B63</f>
        <v>Niclas Füllkrug</v>
      </c>
      <c r="E76" s="12" t="str">
        <f>Spieltag!C63</f>
        <v>Sturm</v>
      </c>
      <c r="F76" s="13" t="s">
        <v>57</v>
      </c>
      <c r="G76" s="14"/>
      <c r="H76" s="15">
        <f t="shared" ref="H76" si="220">IF(G76="x",10,0)</f>
        <v>0</v>
      </c>
      <c r="I76" s="14"/>
      <c r="J76" s="15">
        <f t="shared" ref="J76" si="221">IF((I76="x"),-10,0)</f>
        <v>0</v>
      </c>
      <c r="K76" s="14"/>
      <c r="L76" s="15">
        <f t="shared" ref="L76" si="222">IF((K76="x"),-20,0)</f>
        <v>0</v>
      </c>
      <c r="M76" s="14"/>
      <c r="N76" s="15">
        <f t="shared" ref="N76" si="223">IF((M76="x"),-30,0)</f>
        <v>0</v>
      </c>
      <c r="O76" s="16">
        <f t="shared" si="188"/>
        <v>20</v>
      </c>
      <c r="P76" s="16">
        <f t="shared" si="189"/>
        <v>40</v>
      </c>
      <c r="Q76" s="16">
        <f t="shared" si="215"/>
        <v>5</v>
      </c>
      <c r="R76" s="14"/>
      <c r="S76" s="15">
        <f t="shared" ref="S76" si="224">R76*10</f>
        <v>0</v>
      </c>
      <c r="T76" s="14"/>
      <c r="U76" s="15">
        <f t="shared" ref="U76" si="225">T76*-15</f>
        <v>0</v>
      </c>
      <c r="V76" s="16">
        <f t="shared" ref="V76" si="226">IF(AND(R76=2),10,IF(R76=3,30,IF(R76=4,50,IF(R76=5,70,0))))</f>
        <v>0</v>
      </c>
      <c r="W76" s="17">
        <f t="shared" ref="W76" si="227">IF(G76="x",H76+J76+L76+N76+O76+P76+Q76+S76+U76+V76,0)</f>
        <v>0</v>
      </c>
    </row>
    <row r="77" spans="1:23" ht="10.5" hidden="1" customHeight="1" x14ac:dyDescent="0.2">
      <c r="A77" s="11"/>
      <c r="B77" s="149">
        <f>COUNTA(Spieltag!K64:AA64)</f>
        <v>0</v>
      </c>
      <c r="C77" s="166">
        <f>Spieltag!A64</f>
        <v>16</v>
      </c>
      <c r="D77" s="21" t="str">
        <f>Spieltag!B64</f>
        <v>Julien Duranville (A)</v>
      </c>
      <c r="E77" s="12" t="str">
        <f>Spieltag!C64</f>
        <v>Sturm</v>
      </c>
      <c r="F77" s="13" t="s">
        <v>57</v>
      </c>
      <c r="G77" s="14"/>
      <c r="H77" s="15">
        <f t="shared" si="211"/>
        <v>0</v>
      </c>
      <c r="I77" s="14"/>
      <c r="J77" s="15">
        <f t="shared" si="212"/>
        <v>0</v>
      </c>
      <c r="K77" s="14"/>
      <c r="L77" s="15">
        <f t="shared" si="213"/>
        <v>0</v>
      </c>
      <c r="M77" s="14"/>
      <c r="N77" s="15">
        <f t="shared" si="214"/>
        <v>0</v>
      </c>
      <c r="O77" s="16">
        <f t="shared" si="188"/>
        <v>20</v>
      </c>
      <c r="P77" s="16">
        <f t="shared" si="189"/>
        <v>40</v>
      </c>
      <c r="Q77" s="16">
        <f t="shared" si="215"/>
        <v>5</v>
      </c>
      <c r="R77" s="14"/>
      <c r="S77" s="15">
        <f t="shared" si="216"/>
        <v>0</v>
      </c>
      <c r="T77" s="14"/>
      <c r="U77" s="15">
        <f t="shared" si="217"/>
        <v>0</v>
      </c>
      <c r="V77" s="16">
        <f t="shared" si="218"/>
        <v>0</v>
      </c>
      <c r="W77" s="17">
        <f t="shared" si="219"/>
        <v>0</v>
      </c>
    </row>
    <row r="78" spans="1:23" ht="10.5" hidden="1" customHeight="1" x14ac:dyDescent="0.2">
      <c r="A78" s="11"/>
      <c r="B78" s="149">
        <f>COUNTA(Spieltag!K65:AA65)</f>
        <v>0</v>
      </c>
      <c r="C78" s="166">
        <f>Spieltag!A65</f>
        <v>18</v>
      </c>
      <c r="D78" s="21" t="str">
        <f>Spieltag!B65</f>
        <v xml:space="preserve">Youssoufa Moukoko </v>
      </c>
      <c r="E78" s="12" t="str">
        <f>Spieltag!C65</f>
        <v>Sturm</v>
      </c>
      <c r="F78" s="13" t="s">
        <v>57</v>
      </c>
      <c r="G78" s="14"/>
      <c r="H78" s="15">
        <f t="shared" ref="H78:H82" si="228">IF(G78="x",10,0)</f>
        <v>0</v>
      </c>
      <c r="I78" s="14"/>
      <c r="J78" s="15">
        <f t="shared" ref="J78:J82" si="229">IF((I78="x"),-10,0)</f>
        <v>0</v>
      </c>
      <c r="K78" s="14"/>
      <c r="L78" s="15">
        <f t="shared" ref="L78:L82" si="230">IF((K78="x"),-20,0)</f>
        <v>0</v>
      </c>
      <c r="M78" s="14"/>
      <c r="N78" s="15">
        <f t="shared" ref="N78:N82" si="231">IF((M78="x"),-30,0)</f>
        <v>0</v>
      </c>
      <c r="O78" s="16">
        <f t="shared" si="188"/>
        <v>20</v>
      </c>
      <c r="P78" s="16">
        <f t="shared" si="189"/>
        <v>40</v>
      </c>
      <c r="Q78" s="16">
        <f t="shared" si="215"/>
        <v>5</v>
      </c>
      <c r="R78" s="14"/>
      <c r="S78" s="15">
        <f t="shared" ref="S78:S82" si="232">R78*10</f>
        <v>0</v>
      </c>
      <c r="T78" s="14"/>
      <c r="U78" s="15">
        <f t="shared" ref="U78:U82" si="233">T78*-15</f>
        <v>0</v>
      </c>
      <c r="V78" s="16">
        <f t="shared" ref="V78:V82" si="234">IF(AND(R78=2),10,IF(R78=3,30,IF(R78=4,50,IF(R78=5,70,0))))</f>
        <v>0</v>
      </c>
      <c r="W78" s="17">
        <f t="shared" ref="W78:W82" si="235">IF(G78="x",H78+J78+L78+N78+O78+P78+Q78+S78+U78+V78,0)</f>
        <v>0</v>
      </c>
    </row>
    <row r="79" spans="1:23" ht="10.5" hidden="1" customHeight="1" x14ac:dyDescent="0.2">
      <c r="A79" s="11"/>
      <c r="B79" s="149">
        <f>COUNTA(Spieltag!K66:AA66)</f>
        <v>0</v>
      </c>
      <c r="C79" s="166">
        <f>Spieltag!A66</f>
        <v>21</v>
      </c>
      <c r="D79" s="21" t="str">
        <f>Spieltag!B66</f>
        <v>Donyell Malen (A)</v>
      </c>
      <c r="E79" s="12" t="str">
        <f>Spieltag!C66</f>
        <v>Sturm</v>
      </c>
      <c r="F79" s="13" t="s">
        <v>57</v>
      </c>
      <c r="G79" s="14"/>
      <c r="H79" s="15">
        <f t="shared" ref="H79" si="236">IF(G79="x",10,0)</f>
        <v>0</v>
      </c>
      <c r="I79" s="14"/>
      <c r="J79" s="15">
        <f t="shared" ref="J79" si="237">IF((I79="x"),-10,0)</f>
        <v>0</v>
      </c>
      <c r="K79" s="14"/>
      <c r="L79" s="15">
        <f t="shared" ref="L79" si="238">IF((K79="x"),-20,0)</f>
        <v>0</v>
      </c>
      <c r="M79" s="14"/>
      <c r="N79" s="15">
        <f t="shared" ref="N79" si="239">IF((M79="x"),-30,0)</f>
        <v>0</v>
      </c>
      <c r="O79" s="16">
        <f t="shared" si="188"/>
        <v>20</v>
      </c>
      <c r="P79" s="16">
        <f t="shared" si="189"/>
        <v>40</v>
      </c>
      <c r="Q79" s="16">
        <f t="shared" si="215"/>
        <v>5</v>
      </c>
      <c r="R79" s="14"/>
      <c r="S79" s="15">
        <f t="shared" ref="S79" si="240">R79*10</f>
        <v>0</v>
      </c>
      <c r="T79" s="14"/>
      <c r="U79" s="15">
        <f t="shared" ref="U79" si="241">T79*-15</f>
        <v>0</v>
      </c>
      <c r="V79" s="16">
        <f t="shared" ref="V79" si="242">IF(AND(R79=2),10,IF(R79=3,30,IF(R79=4,50,IF(R79=5,70,0))))</f>
        <v>0</v>
      </c>
      <c r="W79" s="17">
        <f t="shared" ref="W79" si="243">IF(G79="x",H79+J79+L79+N79+O79+P79+Q79+S79+U79+V79,0)</f>
        <v>0</v>
      </c>
    </row>
    <row r="80" spans="1:23" ht="10.5" hidden="1" customHeight="1" x14ac:dyDescent="0.2">
      <c r="A80" s="11"/>
      <c r="B80" s="149">
        <f>COUNTA(Spieltag!K67:AA67)</f>
        <v>0</v>
      </c>
      <c r="C80" s="166">
        <f>Spieltag!A67</f>
        <v>27</v>
      </c>
      <c r="D80" s="21" t="str">
        <f>Spieltag!B67</f>
        <v>Karim Adeyemi</v>
      </c>
      <c r="E80" s="12" t="str">
        <f>Spieltag!C67</f>
        <v>Sturm</v>
      </c>
      <c r="F80" s="13" t="s">
        <v>57</v>
      </c>
      <c r="G80" s="14"/>
      <c r="H80" s="15">
        <f t="shared" si="228"/>
        <v>0</v>
      </c>
      <c r="I80" s="14"/>
      <c r="J80" s="15">
        <f t="shared" si="229"/>
        <v>0</v>
      </c>
      <c r="K80" s="14"/>
      <c r="L80" s="15">
        <f t="shared" si="230"/>
        <v>0</v>
      </c>
      <c r="M80" s="14"/>
      <c r="N80" s="15">
        <f t="shared" si="231"/>
        <v>0</v>
      </c>
      <c r="O80" s="16">
        <f t="shared" si="188"/>
        <v>20</v>
      </c>
      <c r="P80" s="16">
        <f t="shared" si="189"/>
        <v>40</v>
      </c>
      <c r="Q80" s="16">
        <f t="shared" si="215"/>
        <v>5</v>
      </c>
      <c r="R80" s="14"/>
      <c r="S80" s="15">
        <f t="shared" si="232"/>
        <v>0</v>
      </c>
      <c r="T80" s="14"/>
      <c r="U80" s="15">
        <f t="shared" si="233"/>
        <v>0</v>
      </c>
      <c r="V80" s="16">
        <f t="shared" si="234"/>
        <v>0</v>
      </c>
      <c r="W80" s="17">
        <f t="shared" si="235"/>
        <v>0</v>
      </c>
    </row>
    <row r="81" spans="1:23" ht="10.5" hidden="1" customHeight="1" x14ac:dyDescent="0.2">
      <c r="A81" s="11"/>
      <c r="B81" s="149">
        <f>COUNTA(Spieltag!K68:AA68)</f>
        <v>0</v>
      </c>
      <c r="C81" s="166">
        <f>Spieltag!A68</f>
        <v>29</v>
      </c>
      <c r="D81" s="21" t="str">
        <f>Spieltag!B68</f>
        <v>Paris Brunner</v>
      </c>
      <c r="E81" s="12" t="str">
        <f>Spieltag!C68</f>
        <v>Sturm</v>
      </c>
      <c r="F81" s="13" t="s">
        <v>57</v>
      </c>
      <c r="G81" s="14"/>
      <c r="H81" s="15">
        <f t="shared" ref="H81" si="244">IF(G81="x",10,0)</f>
        <v>0</v>
      </c>
      <c r="I81" s="14"/>
      <c r="J81" s="15">
        <f t="shared" ref="J81" si="245">IF((I81="x"),-10,0)</f>
        <v>0</v>
      </c>
      <c r="K81" s="14"/>
      <c r="L81" s="15">
        <f t="shared" ref="L81" si="246">IF((K81="x"),-20,0)</f>
        <v>0</v>
      </c>
      <c r="M81" s="14"/>
      <c r="N81" s="15">
        <f t="shared" ref="N81" si="247">IF((M81="x"),-30,0)</f>
        <v>0</v>
      </c>
      <c r="O81" s="16">
        <f t="shared" si="188"/>
        <v>20</v>
      </c>
      <c r="P81" s="16">
        <f t="shared" si="189"/>
        <v>40</v>
      </c>
      <c r="Q81" s="16">
        <f t="shared" si="215"/>
        <v>5</v>
      </c>
      <c r="R81" s="14"/>
      <c r="S81" s="15">
        <f t="shared" ref="S81" si="248">R81*10</f>
        <v>0</v>
      </c>
      <c r="T81" s="14"/>
      <c r="U81" s="15">
        <f t="shared" ref="U81" si="249">T81*-15</f>
        <v>0</v>
      </c>
      <c r="V81" s="16">
        <f t="shared" ref="V81" si="250">IF(AND(R81=2),10,IF(R81=3,30,IF(R81=4,50,IF(R81=5,70,0))))</f>
        <v>0</v>
      </c>
      <c r="W81" s="17">
        <f t="shared" ref="W81" si="251">IF(G81="x",H81+J81+L81+N81+O81+P81+Q81+S81+U81+V81,0)</f>
        <v>0</v>
      </c>
    </row>
    <row r="82" spans="1:23" ht="10.5" hidden="1" customHeight="1" x14ac:dyDescent="0.2">
      <c r="A82" s="11"/>
      <c r="B82" s="149">
        <f>COUNTA(Spieltag!K69:AA69)</f>
        <v>0</v>
      </c>
      <c r="C82" s="166">
        <f>Spieltag!A69</f>
        <v>43</v>
      </c>
      <c r="D82" s="21" t="str">
        <f>Spieltag!B69</f>
        <v>Jamie Bynoe-Gittens (A)</v>
      </c>
      <c r="E82" s="12" t="str">
        <f>Spieltag!C69</f>
        <v>Sturm</v>
      </c>
      <c r="F82" s="13" t="s">
        <v>57</v>
      </c>
      <c r="G82" s="14"/>
      <c r="H82" s="15">
        <f t="shared" si="228"/>
        <v>0</v>
      </c>
      <c r="I82" s="14"/>
      <c r="J82" s="15">
        <f t="shared" si="229"/>
        <v>0</v>
      </c>
      <c r="K82" s="14"/>
      <c r="L82" s="15">
        <f t="shared" si="230"/>
        <v>0</v>
      </c>
      <c r="M82" s="14"/>
      <c r="N82" s="15">
        <f t="shared" si="231"/>
        <v>0</v>
      </c>
      <c r="O82" s="16">
        <f t="shared" si="188"/>
        <v>20</v>
      </c>
      <c r="P82" s="16">
        <f t="shared" si="189"/>
        <v>40</v>
      </c>
      <c r="Q82" s="16">
        <f t="shared" si="215"/>
        <v>5</v>
      </c>
      <c r="R82" s="14"/>
      <c r="S82" s="15">
        <f t="shared" si="232"/>
        <v>0</v>
      </c>
      <c r="T82" s="14"/>
      <c r="U82" s="15">
        <f t="shared" si="233"/>
        <v>0</v>
      </c>
      <c r="V82" s="16">
        <f t="shared" si="234"/>
        <v>0</v>
      </c>
      <c r="W82" s="17">
        <f t="shared" si="235"/>
        <v>0</v>
      </c>
    </row>
    <row r="83" spans="1:23" s="144" customFormat="1" ht="17.25" thickBot="1" x14ac:dyDescent="0.25">
      <c r="A83" s="142"/>
      <c r="B83" s="143">
        <f>SUM(B84:B109)</f>
        <v>16</v>
      </c>
      <c r="C83" s="158"/>
      <c r="D83" s="221" t="s">
        <v>128</v>
      </c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2"/>
    </row>
    <row r="84" spans="1:23" ht="10.5" customHeight="1" x14ac:dyDescent="0.2">
      <c r="A84" s="11"/>
      <c r="B84" s="149">
        <f>COUNTA(Spieltag!K71:AA71)</f>
        <v>1</v>
      </c>
      <c r="C84" s="166">
        <f>Spieltag!A71</f>
        <v>1</v>
      </c>
      <c r="D84" s="21" t="str">
        <f>Spieltag!B71</f>
        <v>Péter Gulácsi (A)</v>
      </c>
      <c r="E84" s="12" t="str">
        <f>Spieltag!C71</f>
        <v>Torwart</v>
      </c>
      <c r="F84" s="13" t="s">
        <v>134</v>
      </c>
      <c r="G84" s="14" t="s">
        <v>59</v>
      </c>
      <c r="H84" s="15">
        <f>IF(G84="x",10,0)</f>
        <v>0</v>
      </c>
      <c r="I84" s="14"/>
      <c r="J84" s="15">
        <f>IF((I84="x"),-10,0)</f>
        <v>0</v>
      </c>
      <c r="K84" s="14"/>
      <c r="L84" s="15">
        <f>IF((K84="x"),-20,0)</f>
        <v>0</v>
      </c>
      <c r="M84" s="14"/>
      <c r="N84" s="15">
        <f>IF((M84="x"),-30,0)</f>
        <v>0</v>
      </c>
      <c r="O84" s="16">
        <f t="shared" ref="O84:O105" si="252">IF(AND($P$8&gt;$Q$8),20,IF($P$8=$Q$8,10,0))</f>
        <v>10</v>
      </c>
      <c r="P84" s="16">
        <f t="shared" ref="P84:P105" si="253">IF(($P$8&lt;&gt;0),$P$8*10,-5)</f>
        <v>20</v>
      </c>
      <c r="Q84" s="16">
        <f>IF(($Q$8&lt;&gt;0),$Q$8*-10,20)</f>
        <v>-20</v>
      </c>
      <c r="R84" s="14"/>
      <c r="S84" s="15">
        <f>R84*20</f>
        <v>0</v>
      </c>
      <c r="T84" s="14"/>
      <c r="U84" s="15">
        <f>T84*-15</f>
        <v>0</v>
      </c>
      <c r="V84" s="16">
        <f t="shared" ref="V84" si="254">IF(AND(R84=2),10,IF(R84=3,30,IF(R84=4,50,IF(R84=5,70,0))))</f>
        <v>0</v>
      </c>
      <c r="W84" s="17">
        <f t="shared" ref="W84" si="255">IF(G84="x",H84+J84+L84+N84+O84+P84+Q84+S84+U84+V84,0)</f>
        <v>0</v>
      </c>
    </row>
    <row r="85" spans="1:23" ht="10.5" hidden="1" customHeight="1" x14ac:dyDescent="0.2">
      <c r="A85" s="11"/>
      <c r="B85" s="149">
        <f>COUNTA(Spieltag!K72:AA72)</f>
        <v>0</v>
      </c>
      <c r="C85" s="166">
        <f>Spieltag!A72</f>
        <v>21</v>
      </c>
      <c r="D85" s="21" t="str">
        <f>Spieltag!B72</f>
        <v>Janis Blaswich</v>
      </c>
      <c r="E85" s="12" t="str">
        <f>Spieltag!C72</f>
        <v>Torwart</v>
      </c>
      <c r="F85" s="13" t="s">
        <v>134</v>
      </c>
      <c r="G85" s="14"/>
      <c r="H85" s="15">
        <f>IF(G85="x",10,0)</f>
        <v>0</v>
      </c>
      <c r="I85" s="14"/>
      <c r="J85" s="15">
        <f>IF((I85="x"),-10,0)</f>
        <v>0</v>
      </c>
      <c r="K85" s="14"/>
      <c r="L85" s="15">
        <f>IF((K85="x"),-20,0)</f>
        <v>0</v>
      </c>
      <c r="M85" s="14"/>
      <c r="N85" s="15">
        <f>IF((M85="x"),-30,0)</f>
        <v>0</v>
      </c>
      <c r="O85" s="16">
        <f t="shared" si="252"/>
        <v>10</v>
      </c>
      <c r="P85" s="16">
        <f t="shared" si="253"/>
        <v>20</v>
      </c>
      <c r="Q85" s="16">
        <f>IF(($Q$8&lt;&gt;0),$Q$8*-10,20)</f>
        <v>-20</v>
      </c>
      <c r="R85" s="14"/>
      <c r="S85" s="15">
        <f>R85*20</f>
        <v>0</v>
      </c>
      <c r="T85" s="14"/>
      <c r="U85" s="15">
        <f>T85*-15</f>
        <v>0</v>
      </c>
      <c r="V85" s="16">
        <f t="shared" ref="V85:V88" si="256">IF(AND(R85=2),10,IF(R85=3,30,IF(R85=4,50,IF(R85=5,70,0))))</f>
        <v>0</v>
      </c>
      <c r="W85" s="17">
        <f t="shared" ref="W85:W88" si="257">IF(G85="x",H85+J85+L85+N85+O85+P85+Q85+S85+U85+V85,0)</f>
        <v>0</v>
      </c>
    </row>
    <row r="86" spans="1:23" ht="10.5" hidden="1" customHeight="1" x14ac:dyDescent="0.2">
      <c r="A86" s="11"/>
      <c r="B86" s="149">
        <f>COUNTA(Spieltag!K73:AA73)</f>
        <v>0</v>
      </c>
      <c r="C86" s="166">
        <f>Spieltag!A73</f>
        <v>25</v>
      </c>
      <c r="D86" s="21" t="str">
        <f>Spieltag!B73</f>
        <v>Leopold Zingerle</v>
      </c>
      <c r="E86" s="12" t="str">
        <f>Spieltag!C73</f>
        <v>Torwart</v>
      </c>
      <c r="F86" s="13" t="s">
        <v>134</v>
      </c>
      <c r="G86" s="14"/>
      <c r="H86" s="15">
        <f t="shared" ref="H86" si="258">IF(G86="x",10,0)</f>
        <v>0</v>
      </c>
      <c r="I86" s="14"/>
      <c r="J86" s="15">
        <f t="shared" ref="J86" si="259">IF((I86="x"),-10,0)</f>
        <v>0</v>
      </c>
      <c r="K86" s="14"/>
      <c r="L86" s="15">
        <f t="shared" ref="L86" si="260">IF((K86="x"),-20,0)</f>
        <v>0</v>
      </c>
      <c r="M86" s="14"/>
      <c r="N86" s="15">
        <f t="shared" ref="N86" si="261">IF((M86="x"),-30,0)</f>
        <v>0</v>
      </c>
      <c r="O86" s="16">
        <f t="shared" si="252"/>
        <v>10</v>
      </c>
      <c r="P86" s="16">
        <f t="shared" si="253"/>
        <v>20</v>
      </c>
      <c r="Q86" s="16">
        <f t="shared" ref="Q86:Q87" si="262">IF(($Q$8&lt;&gt;0),$Q$8*-10,20)</f>
        <v>-20</v>
      </c>
      <c r="R86" s="14"/>
      <c r="S86" s="15">
        <f t="shared" ref="S86" si="263">R86*20</f>
        <v>0</v>
      </c>
      <c r="T86" s="14"/>
      <c r="U86" s="15">
        <f t="shared" ref="U86" si="264">T86*-15</f>
        <v>0</v>
      </c>
      <c r="V86" s="16">
        <f t="shared" ref="V86" si="265">IF(AND(R86=2),10,IF(R86=3,30,IF(R86=4,50,IF(R86=5,70,0))))</f>
        <v>0</v>
      </c>
      <c r="W86" s="17">
        <f t="shared" ref="W86" si="266">IF(G86="x",H86+J86+L86+N86+O86+P86+Q86+S86+U86+V86,0)</f>
        <v>0</v>
      </c>
    </row>
    <row r="87" spans="1:23" ht="10.5" hidden="1" customHeight="1" x14ac:dyDescent="0.2">
      <c r="A87" s="11"/>
      <c r="B87" s="149">
        <f>COUNTA(Spieltag!K74:AA74)</f>
        <v>0</v>
      </c>
      <c r="C87" s="166">
        <f>Spieltag!A74</f>
        <v>36</v>
      </c>
      <c r="D87" s="21" t="str">
        <f>Spieltag!B74</f>
        <v>Timo Schlieck</v>
      </c>
      <c r="E87" s="12" t="str">
        <f>Spieltag!C74</f>
        <v>Torwart</v>
      </c>
      <c r="F87" s="13" t="s">
        <v>134</v>
      </c>
      <c r="G87" s="14"/>
      <c r="H87" s="15">
        <f t="shared" ref="H87:H88" si="267">IF(G87="x",10,0)</f>
        <v>0</v>
      </c>
      <c r="I87" s="14"/>
      <c r="J87" s="15">
        <f t="shared" ref="J87:J88" si="268">IF((I87="x"),-10,0)</f>
        <v>0</v>
      </c>
      <c r="K87" s="14"/>
      <c r="L87" s="15">
        <f t="shared" ref="L87:L88" si="269">IF((K87="x"),-20,0)</f>
        <v>0</v>
      </c>
      <c r="M87" s="14"/>
      <c r="N87" s="15">
        <f t="shared" ref="N87:N88" si="270">IF((M87="x"),-30,0)</f>
        <v>0</v>
      </c>
      <c r="O87" s="16">
        <f t="shared" si="252"/>
        <v>10</v>
      </c>
      <c r="P87" s="16">
        <f t="shared" si="253"/>
        <v>20</v>
      </c>
      <c r="Q87" s="16">
        <f t="shared" si="262"/>
        <v>-20</v>
      </c>
      <c r="R87" s="14"/>
      <c r="S87" s="15">
        <f t="shared" ref="S87" si="271">R87*20</f>
        <v>0</v>
      </c>
      <c r="T87" s="14"/>
      <c r="U87" s="15">
        <f t="shared" ref="U87:U88" si="272">T87*-15</f>
        <v>0</v>
      </c>
      <c r="V87" s="16">
        <f t="shared" si="256"/>
        <v>0</v>
      </c>
      <c r="W87" s="17">
        <f t="shared" si="257"/>
        <v>0</v>
      </c>
    </row>
    <row r="88" spans="1:23" ht="10.5" hidden="1" customHeight="1" x14ac:dyDescent="0.2">
      <c r="A88" s="11"/>
      <c r="B88" s="149">
        <f>COUNTA(Spieltag!K75:AA75)</f>
        <v>0</v>
      </c>
      <c r="C88" s="166">
        <f>Spieltag!A75</f>
        <v>2</v>
      </c>
      <c r="D88" s="21" t="str">
        <f>Spieltag!B75</f>
        <v>Mohamed Simakan (A)</v>
      </c>
      <c r="E88" s="12" t="str">
        <f>Spieltag!C75</f>
        <v>Abwehr</v>
      </c>
      <c r="F88" s="13" t="s">
        <v>134</v>
      </c>
      <c r="G88" s="14"/>
      <c r="H88" s="15">
        <f t="shared" si="267"/>
        <v>0</v>
      </c>
      <c r="I88" s="14"/>
      <c r="J88" s="15">
        <f t="shared" si="268"/>
        <v>0</v>
      </c>
      <c r="K88" s="14"/>
      <c r="L88" s="15">
        <f t="shared" si="269"/>
        <v>0</v>
      </c>
      <c r="M88" s="14"/>
      <c r="N88" s="15">
        <f t="shared" si="270"/>
        <v>0</v>
      </c>
      <c r="O88" s="16">
        <f t="shared" si="252"/>
        <v>10</v>
      </c>
      <c r="P88" s="16">
        <f t="shared" si="253"/>
        <v>20</v>
      </c>
      <c r="Q88" s="16">
        <f t="shared" ref="Q88:Q96" si="273">IF(($Q$8&lt;&gt;0),$Q$8*-10,15)</f>
        <v>-20</v>
      </c>
      <c r="R88" s="14"/>
      <c r="S88" s="15">
        <f t="shared" ref="S88" si="274">R88*15</f>
        <v>0</v>
      </c>
      <c r="T88" s="14"/>
      <c r="U88" s="15">
        <f t="shared" si="272"/>
        <v>0</v>
      </c>
      <c r="V88" s="16">
        <f t="shared" si="256"/>
        <v>0</v>
      </c>
      <c r="W88" s="17">
        <f t="shared" si="257"/>
        <v>0</v>
      </c>
    </row>
    <row r="89" spans="1:23" ht="10.5" hidden="1" customHeight="1" x14ac:dyDescent="0.2">
      <c r="A89" s="11"/>
      <c r="B89" s="149">
        <f>COUNTA(Spieltag!K76:AA76)</f>
        <v>0</v>
      </c>
      <c r="C89" s="166">
        <f>Spieltag!A76</f>
        <v>3</v>
      </c>
      <c r="D89" s="21" t="str">
        <f>Spieltag!B76</f>
        <v>Christopher Lenz</v>
      </c>
      <c r="E89" s="12" t="str">
        <f>Spieltag!C76</f>
        <v>Abwehr</v>
      </c>
      <c r="F89" s="13" t="s">
        <v>134</v>
      </c>
      <c r="G89" s="14"/>
      <c r="H89" s="15">
        <f t="shared" ref="H89" si="275">IF(G89="x",10,0)</f>
        <v>0</v>
      </c>
      <c r="I89" s="14"/>
      <c r="J89" s="15">
        <f t="shared" ref="J89" si="276">IF((I89="x"),-10,0)</f>
        <v>0</v>
      </c>
      <c r="K89" s="14"/>
      <c r="L89" s="15">
        <f t="shared" ref="L89" si="277">IF((K89="x"),-20,0)</f>
        <v>0</v>
      </c>
      <c r="M89" s="14"/>
      <c r="N89" s="15">
        <f t="shared" ref="N89" si="278">IF((M89="x"),-30,0)</f>
        <v>0</v>
      </c>
      <c r="O89" s="16">
        <f t="shared" si="252"/>
        <v>10</v>
      </c>
      <c r="P89" s="16">
        <f t="shared" si="253"/>
        <v>20</v>
      </c>
      <c r="Q89" s="16">
        <f t="shared" si="273"/>
        <v>-20</v>
      </c>
      <c r="R89" s="14"/>
      <c r="S89" s="15">
        <f t="shared" ref="S89" si="279">R89*15</f>
        <v>0</v>
      </c>
      <c r="T89" s="14"/>
      <c r="U89" s="15">
        <f t="shared" ref="U89" si="280">T89*-15</f>
        <v>0</v>
      </c>
      <c r="V89" s="16">
        <f t="shared" ref="V89" si="281">IF(AND(R89=2),10,IF(R89=3,30,IF(R89=4,50,IF(R89=5,70,0))))</f>
        <v>0</v>
      </c>
      <c r="W89" s="17">
        <f t="shared" ref="W89" si="282">IF(G89="x",H89+J89+L89+N89+O89+P89+Q89+S89+U89+V89,0)</f>
        <v>0</v>
      </c>
    </row>
    <row r="90" spans="1:23" ht="10.5" customHeight="1" x14ac:dyDescent="0.2">
      <c r="A90" s="11"/>
      <c r="B90" s="149">
        <f>COUNTA(Spieltag!K77:AA77)</f>
        <v>3</v>
      </c>
      <c r="C90" s="166">
        <f>Spieltag!A77</f>
        <v>4</v>
      </c>
      <c r="D90" s="21" t="str">
        <f>Spieltag!B77</f>
        <v>Willi Orban</v>
      </c>
      <c r="E90" s="12" t="str">
        <f>Spieltag!C77</f>
        <v>Abwehr</v>
      </c>
      <c r="F90" s="13" t="s">
        <v>134</v>
      </c>
      <c r="G90" s="14" t="s">
        <v>676</v>
      </c>
      <c r="H90" s="15">
        <f t="shared" ref="H90:H96" si="283">IF(G90="x",10,0)</f>
        <v>10</v>
      </c>
      <c r="I90" s="14"/>
      <c r="J90" s="15">
        <f t="shared" ref="J90:J96" si="284">IF((I90="x"),-10,0)</f>
        <v>0</v>
      </c>
      <c r="K90" s="14"/>
      <c r="L90" s="15">
        <f t="shared" ref="L90:L96" si="285">IF((K90="x"),-20,0)</f>
        <v>0</v>
      </c>
      <c r="M90" s="14"/>
      <c r="N90" s="15">
        <f t="shared" ref="N90:N96" si="286">IF((M90="x"),-30,0)</f>
        <v>0</v>
      </c>
      <c r="O90" s="16">
        <f t="shared" si="252"/>
        <v>10</v>
      </c>
      <c r="P90" s="16">
        <f t="shared" si="253"/>
        <v>20</v>
      </c>
      <c r="Q90" s="16">
        <f t="shared" si="273"/>
        <v>-20</v>
      </c>
      <c r="R90" s="14"/>
      <c r="S90" s="15">
        <f t="shared" ref="S90:S96" si="287">R90*15</f>
        <v>0</v>
      </c>
      <c r="T90" s="14"/>
      <c r="U90" s="15">
        <f t="shared" ref="U90:U96" si="288">T90*-15</f>
        <v>0</v>
      </c>
      <c r="V90" s="16">
        <f t="shared" ref="V90:V96" si="289">IF(AND(R90=2),10,IF(R90=3,30,IF(R90=4,50,IF(R90=5,70,0))))</f>
        <v>0</v>
      </c>
      <c r="W90" s="17">
        <f t="shared" ref="W90:W96" si="290">IF(G90="x",H90+J90+L90+N90+O90+P90+Q90+S90+U90+V90,0)</f>
        <v>20</v>
      </c>
    </row>
    <row r="91" spans="1:23" ht="10.5" hidden="1" customHeight="1" x14ac:dyDescent="0.2">
      <c r="A91" s="11"/>
      <c r="B91" s="149">
        <f>COUNTA(Spieltag!K78:AA78)</f>
        <v>0</v>
      </c>
      <c r="C91" s="166">
        <f>Spieltag!A78</f>
        <v>5</v>
      </c>
      <c r="D91" s="21" t="str">
        <f>Spieltag!B78</f>
        <v>El Chadaille Bitshiabu (A)</v>
      </c>
      <c r="E91" s="12" t="str">
        <f>Spieltag!C78</f>
        <v>Abwehr</v>
      </c>
      <c r="F91" s="13" t="s">
        <v>134</v>
      </c>
      <c r="G91" s="14"/>
      <c r="H91" s="15">
        <f t="shared" si="283"/>
        <v>0</v>
      </c>
      <c r="I91" s="14"/>
      <c r="J91" s="15">
        <f t="shared" si="284"/>
        <v>0</v>
      </c>
      <c r="K91" s="14"/>
      <c r="L91" s="15">
        <f t="shared" si="285"/>
        <v>0</v>
      </c>
      <c r="M91" s="14"/>
      <c r="N91" s="15">
        <f t="shared" si="286"/>
        <v>0</v>
      </c>
      <c r="O91" s="16">
        <f t="shared" si="252"/>
        <v>10</v>
      </c>
      <c r="P91" s="16">
        <f t="shared" si="253"/>
        <v>20</v>
      </c>
      <c r="Q91" s="16">
        <f t="shared" si="273"/>
        <v>-20</v>
      </c>
      <c r="R91" s="14"/>
      <c r="S91" s="15">
        <f t="shared" si="287"/>
        <v>0</v>
      </c>
      <c r="T91" s="14"/>
      <c r="U91" s="15">
        <f t="shared" si="288"/>
        <v>0</v>
      </c>
      <c r="V91" s="16">
        <f t="shared" si="289"/>
        <v>0</v>
      </c>
      <c r="W91" s="17">
        <f t="shared" si="290"/>
        <v>0</v>
      </c>
    </row>
    <row r="92" spans="1:23" ht="10.5" hidden="1" customHeight="1" x14ac:dyDescent="0.2">
      <c r="A92" s="11"/>
      <c r="B92" s="149">
        <f>COUNTA(Spieltag!K79:AA79)</f>
        <v>0</v>
      </c>
      <c r="C92" s="166">
        <f>Spieltag!A79</f>
        <v>16</v>
      </c>
      <c r="D92" s="21" t="str">
        <f>Spieltag!B79</f>
        <v>Lukas Klostermann</v>
      </c>
      <c r="E92" s="12" t="str">
        <f>Spieltag!C79</f>
        <v>Abwehr</v>
      </c>
      <c r="F92" s="13" t="s">
        <v>134</v>
      </c>
      <c r="G92" s="14"/>
      <c r="H92" s="15">
        <f t="shared" si="283"/>
        <v>0</v>
      </c>
      <c r="I92" s="14"/>
      <c r="J92" s="15">
        <f t="shared" si="284"/>
        <v>0</v>
      </c>
      <c r="K92" s="14"/>
      <c r="L92" s="15">
        <f t="shared" si="285"/>
        <v>0</v>
      </c>
      <c r="M92" s="14"/>
      <c r="N92" s="15">
        <f t="shared" si="286"/>
        <v>0</v>
      </c>
      <c r="O92" s="16">
        <f t="shared" si="252"/>
        <v>10</v>
      </c>
      <c r="P92" s="16">
        <f t="shared" si="253"/>
        <v>20</v>
      </c>
      <c r="Q92" s="16">
        <f t="shared" si="273"/>
        <v>-20</v>
      </c>
      <c r="R92" s="14"/>
      <c r="S92" s="15">
        <f t="shared" si="287"/>
        <v>0</v>
      </c>
      <c r="T92" s="14"/>
      <c r="U92" s="15">
        <f t="shared" si="288"/>
        <v>0</v>
      </c>
      <c r="V92" s="16">
        <f t="shared" si="289"/>
        <v>0</v>
      </c>
      <c r="W92" s="17">
        <f t="shared" si="290"/>
        <v>0</v>
      </c>
    </row>
    <row r="93" spans="1:23" ht="10.5" customHeight="1" x14ac:dyDescent="0.2">
      <c r="A93" s="11"/>
      <c r="B93" s="149">
        <f>COUNTA(Spieltag!K80:AA80)</f>
        <v>4</v>
      </c>
      <c r="C93" s="166">
        <f>Spieltag!A80</f>
        <v>22</v>
      </c>
      <c r="D93" s="21" t="str">
        <f>Spieltag!B80</f>
        <v>David Raum</v>
      </c>
      <c r="E93" s="12" t="str">
        <f>Spieltag!C80</f>
        <v>Abwehr</v>
      </c>
      <c r="F93" s="13" t="s">
        <v>134</v>
      </c>
      <c r="G93" s="14"/>
      <c r="H93" s="15">
        <f t="shared" si="283"/>
        <v>0</v>
      </c>
      <c r="I93" s="14"/>
      <c r="J93" s="15">
        <f t="shared" si="284"/>
        <v>0</v>
      </c>
      <c r="K93" s="14"/>
      <c r="L93" s="15">
        <f t="shared" si="285"/>
        <v>0</v>
      </c>
      <c r="M93" s="14"/>
      <c r="N93" s="15">
        <f t="shared" si="286"/>
        <v>0</v>
      </c>
      <c r="O93" s="16">
        <f t="shared" si="252"/>
        <v>10</v>
      </c>
      <c r="P93" s="16">
        <f t="shared" si="253"/>
        <v>20</v>
      </c>
      <c r="Q93" s="16">
        <f t="shared" si="273"/>
        <v>-20</v>
      </c>
      <c r="R93" s="14"/>
      <c r="S93" s="15">
        <f t="shared" si="287"/>
        <v>0</v>
      </c>
      <c r="T93" s="14"/>
      <c r="U93" s="15">
        <f t="shared" si="288"/>
        <v>0</v>
      </c>
      <c r="V93" s="16">
        <f t="shared" si="289"/>
        <v>0</v>
      </c>
      <c r="W93" s="17">
        <f t="shared" si="290"/>
        <v>0</v>
      </c>
    </row>
    <row r="94" spans="1:23" ht="10.5" hidden="1" customHeight="1" x14ac:dyDescent="0.2">
      <c r="A94" s="11"/>
      <c r="B94" s="149">
        <f>COUNTA(Spieltag!K81:AA81)</f>
        <v>0</v>
      </c>
      <c r="C94" s="166">
        <f>Spieltag!A81</f>
        <v>23</v>
      </c>
      <c r="D94" s="21" t="str">
        <f>Spieltag!B81</f>
        <v>Castello Lukeba (A)</v>
      </c>
      <c r="E94" s="12" t="str">
        <f>Spieltag!C81</f>
        <v>Abwehr</v>
      </c>
      <c r="F94" s="13" t="s">
        <v>134</v>
      </c>
      <c r="G94" s="14"/>
      <c r="H94" s="15">
        <f t="shared" si="283"/>
        <v>0</v>
      </c>
      <c r="I94" s="14"/>
      <c r="J94" s="15">
        <f t="shared" si="284"/>
        <v>0</v>
      </c>
      <c r="K94" s="14"/>
      <c r="L94" s="15">
        <f t="shared" si="285"/>
        <v>0</v>
      </c>
      <c r="M94" s="14"/>
      <c r="N94" s="15">
        <f t="shared" si="286"/>
        <v>0</v>
      </c>
      <c r="O94" s="16">
        <f t="shared" si="252"/>
        <v>10</v>
      </c>
      <c r="P94" s="16">
        <f t="shared" si="253"/>
        <v>20</v>
      </c>
      <c r="Q94" s="16">
        <f t="shared" si="273"/>
        <v>-20</v>
      </c>
      <c r="R94" s="14"/>
      <c r="S94" s="15">
        <f t="shared" si="287"/>
        <v>0</v>
      </c>
      <c r="T94" s="14"/>
      <c r="U94" s="15">
        <f t="shared" si="288"/>
        <v>0</v>
      </c>
      <c r="V94" s="16">
        <f t="shared" si="289"/>
        <v>0</v>
      </c>
      <c r="W94" s="17">
        <f t="shared" si="290"/>
        <v>0</v>
      </c>
    </row>
    <row r="95" spans="1:23" ht="10.5" hidden="1" customHeight="1" x14ac:dyDescent="0.2">
      <c r="A95" s="11"/>
      <c r="B95" s="149">
        <f>COUNTA(Spieltag!K82:AA82)</f>
        <v>0</v>
      </c>
      <c r="C95" s="166">
        <f>Spieltag!A82</f>
        <v>31</v>
      </c>
      <c r="D95" s="21" t="str">
        <f>Spieltag!B82</f>
        <v>Tim Köhler</v>
      </c>
      <c r="E95" s="12" t="str">
        <f>Spieltag!C82</f>
        <v>Abwehr</v>
      </c>
      <c r="F95" s="13" t="s">
        <v>134</v>
      </c>
      <c r="G95" s="14"/>
      <c r="H95" s="15">
        <f t="shared" ref="H95" si="291">IF(G95="x",10,0)</f>
        <v>0</v>
      </c>
      <c r="I95" s="14"/>
      <c r="J95" s="15">
        <f t="shared" ref="J95" si="292">IF((I95="x"),-10,0)</f>
        <v>0</v>
      </c>
      <c r="K95" s="14"/>
      <c r="L95" s="15">
        <f t="shared" ref="L95" si="293">IF((K95="x"),-20,0)</f>
        <v>0</v>
      </c>
      <c r="M95" s="14"/>
      <c r="N95" s="15">
        <f t="shared" ref="N95" si="294">IF((M95="x"),-30,0)</f>
        <v>0</v>
      </c>
      <c r="O95" s="16">
        <f t="shared" si="252"/>
        <v>10</v>
      </c>
      <c r="P95" s="16">
        <f t="shared" si="253"/>
        <v>20</v>
      </c>
      <c r="Q95" s="16">
        <f t="shared" si="273"/>
        <v>-20</v>
      </c>
      <c r="R95" s="14"/>
      <c r="S95" s="15">
        <f t="shared" ref="S95" si="295">R95*15</f>
        <v>0</v>
      </c>
      <c r="T95" s="14"/>
      <c r="U95" s="15">
        <f t="shared" ref="U95" si="296">T95*-15</f>
        <v>0</v>
      </c>
      <c r="V95" s="16">
        <f t="shared" ref="V95" si="297">IF(AND(R95=2),10,IF(R95=3,30,IF(R95=4,50,IF(R95=5,70,0))))</f>
        <v>0</v>
      </c>
      <c r="W95" s="17">
        <f t="shared" ref="W95" si="298">IF(G95="x",H95+J95+L95+N95+O95+P95+Q95+S95+U95+V95,0)</f>
        <v>0</v>
      </c>
    </row>
    <row r="96" spans="1:23" ht="10.5" hidden="1" customHeight="1" x14ac:dyDescent="0.2">
      <c r="A96" s="11"/>
      <c r="B96" s="149">
        <f>COUNTA(Spieltag!K83:AA83)</f>
        <v>0</v>
      </c>
      <c r="C96" s="166">
        <f>Spieltag!A83</f>
        <v>39</v>
      </c>
      <c r="D96" s="21" t="str">
        <f>Spieltag!B83</f>
        <v>Benjamin Henrichs</v>
      </c>
      <c r="E96" s="12" t="str">
        <f>Spieltag!C83</f>
        <v>Abwehr</v>
      </c>
      <c r="F96" s="13" t="s">
        <v>134</v>
      </c>
      <c r="G96" s="14"/>
      <c r="H96" s="15">
        <f t="shared" si="283"/>
        <v>0</v>
      </c>
      <c r="I96" s="14"/>
      <c r="J96" s="15">
        <f t="shared" si="284"/>
        <v>0</v>
      </c>
      <c r="K96" s="14"/>
      <c r="L96" s="15">
        <f t="shared" si="285"/>
        <v>0</v>
      </c>
      <c r="M96" s="14"/>
      <c r="N96" s="15">
        <f t="shared" si="286"/>
        <v>0</v>
      </c>
      <c r="O96" s="16">
        <f t="shared" si="252"/>
        <v>10</v>
      </c>
      <c r="P96" s="16">
        <f t="shared" si="253"/>
        <v>20</v>
      </c>
      <c r="Q96" s="16">
        <f t="shared" si="273"/>
        <v>-20</v>
      </c>
      <c r="R96" s="14"/>
      <c r="S96" s="15">
        <f t="shared" si="287"/>
        <v>0</v>
      </c>
      <c r="T96" s="14"/>
      <c r="U96" s="15">
        <f t="shared" si="288"/>
        <v>0</v>
      </c>
      <c r="V96" s="16">
        <f t="shared" si="289"/>
        <v>0</v>
      </c>
      <c r="W96" s="17">
        <f t="shared" si="290"/>
        <v>0</v>
      </c>
    </row>
    <row r="97" spans="1:23" ht="10.5" hidden="1" customHeight="1" x14ac:dyDescent="0.2">
      <c r="A97" s="11"/>
      <c r="B97" s="149">
        <f>COUNTA(Spieltag!K84:AA84)</f>
        <v>0</v>
      </c>
      <c r="C97" s="166">
        <f>Spieltag!A84</f>
        <v>6</v>
      </c>
      <c r="D97" s="21" t="str">
        <f>Spieltag!B84</f>
        <v>Eljif Elmans (A)</v>
      </c>
      <c r="E97" s="12" t="str">
        <f>Spieltag!C84</f>
        <v>Mittelfeld</v>
      </c>
      <c r="F97" s="13" t="s">
        <v>134</v>
      </c>
      <c r="G97" s="14"/>
      <c r="H97" s="15">
        <f t="shared" ref="H97" si="299">IF(G97="x",10,0)</f>
        <v>0</v>
      </c>
      <c r="I97" s="14"/>
      <c r="J97" s="15">
        <f t="shared" ref="J97" si="300">IF((I97="x"),-10,0)</f>
        <v>0</v>
      </c>
      <c r="K97" s="14"/>
      <c r="L97" s="15">
        <f t="shared" ref="L97" si="301">IF((K97="x"),-20,0)</f>
        <v>0</v>
      </c>
      <c r="M97" s="14"/>
      <c r="N97" s="15">
        <f t="shared" ref="N97" si="302">IF((M97="x"),-30,0)</f>
        <v>0</v>
      </c>
      <c r="O97" s="16">
        <f t="shared" si="252"/>
        <v>10</v>
      </c>
      <c r="P97" s="16">
        <f t="shared" si="253"/>
        <v>20</v>
      </c>
      <c r="Q97" s="16">
        <f t="shared" ref="Q97:Q105" si="303">IF(($Q$8&lt;&gt;0),$Q$8*-10,10)</f>
        <v>-20</v>
      </c>
      <c r="R97" s="14"/>
      <c r="S97" s="15">
        <f t="shared" ref="S97" si="304">R97*10</f>
        <v>0</v>
      </c>
      <c r="T97" s="14"/>
      <c r="U97" s="15">
        <f t="shared" ref="U97" si="305">T97*-15</f>
        <v>0</v>
      </c>
      <c r="V97" s="16">
        <f t="shared" ref="V97" si="306">IF(AND(R97=2),10,IF(R97=3,30,IF(R97=4,50,IF(R97=5,70,0))))</f>
        <v>0</v>
      </c>
      <c r="W97" s="17">
        <f t="shared" ref="W97" si="307">IF(G97="x",H97+J97+L97+N97+O97+P97+Q97+S97+U97+V97,0)</f>
        <v>0</v>
      </c>
    </row>
    <row r="98" spans="1:23" ht="10.5" customHeight="1" x14ac:dyDescent="0.2">
      <c r="A98" s="11"/>
      <c r="B98" s="149">
        <f>COUNTA(Spieltag!K85:AA85)</f>
        <v>1</v>
      </c>
      <c r="C98" s="166">
        <f>Spieltag!A85</f>
        <v>7</v>
      </c>
      <c r="D98" s="21" t="str">
        <f>Spieltag!B85</f>
        <v>Dani Olmo (A)</v>
      </c>
      <c r="E98" s="12" t="str">
        <f>Spieltag!C85</f>
        <v>Mittelfeld</v>
      </c>
      <c r="F98" s="13" t="s">
        <v>134</v>
      </c>
      <c r="G98" s="14" t="s">
        <v>59</v>
      </c>
      <c r="H98" s="15">
        <f t="shared" ref="H98:H105" si="308">IF(G98="x",10,0)</f>
        <v>0</v>
      </c>
      <c r="I98" s="14"/>
      <c r="J98" s="15">
        <f t="shared" ref="J98:J105" si="309">IF((I98="x"),-10,0)</f>
        <v>0</v>
      </c>
      <c r="K98" s="14"/>
      <c r="L98" s="15">
        <f t="shared" ref="L98:L105" si="310">IF((K98="x"),-20,0)</f>
        <v>0</v>
      </c>
      <c r="M98" s="14"/>
      <c r="N98" s="15">
        <f t="shared" ref="N98:N105" si="311">IF((M98="x"),-30,0)</f>
        <v>0</v>
      </c>
      <c r="O98" s="16">
        <f t="shared" si="252"/>
        <v>10</v>
      </c>
      <c r="P98" s="16">
        <f t="shared" si="253"/>
        <v>20</v>
      </c>
      <c r="Q98" s="16">
        <f t="shared" si="303"/>
        <v>-20</v>
      </c>
      <c r="R98" s="14"/>
      <c r="S98" s="15">
        <f t="shared" ref="S98:S105" si="312">R98*10</f>
        <v>0</v>
      </c>
      <c r="T98" s="14"/>
      <c r="U98" s="15">
        <f t="shared" ref="U98:U105" si="313">T98*-15</f>
        <v>0</v>
      </c>
      <c r="V98" s="16">
        <f t="shared" ref="V98:V105" si="314">IF(AND(R98=2),10,IF(R98=3,30,IF(R98=4,50,IF(R98=5,70,0))))</f>
        <v>0</v>
      </c>
      <c r="W98" s="17">
        <f t="shared" ref="W98:W105" si="315">IF(G98="x",H98+J98+L98+N98+O98+P98+Q98+S98+U98+V98,0)</f>
        <v>0</v>
      </c>
    </row>
    <row r="99" spans="1:23" ht="10.5" hidden="1" customHeight="1" x14ac:dyDescent="0.2">
      <c r="A99" s="11"/>
      <c r="B99" s="149">
        <f>COUNTA(Spieltag!K86:AA86)</f>
        <v>0</v>
      </c>
      <c r="C99" s="166">
        <f>Spieltag!A86</f>
        <v>8</v>
      </c>
      <c r="D99" s="21" t="str">
        <f>Spieltag!B86</f>
        <v>Amadou Haidara (A)</v>
      </c>
      <c r="E99" s="12" t="str">
        <f>Spieltag!C86</f>
        <v>Mittelfeld</v>
      </c>
      <c r="F99" s="13" t="s">
        <v>134</v>
      </c>
      <c r="G99" s="14"/>
      <c r="H99" s="15">
        <f t="shared" si="308"/>
        <v>0</v>
      </c>
      <c r="I99" s="14"/>
      <c r="J99" s="15">
        <f t="shared" si="309"/>
        <v>0</v>
      </c>
      <c r="K99" s="14"/>
      <c r="L99" s="15">
        <f t="shared" si="310"/>
        <v>0</v>
      </c>
      <c r="M99" s="14"/>
      <c r="N99" s="15">
        <f t="shared" si="311"/>
        <v>0</v>
      </c>
      <c r="O99" s="16">
        <f t="shared" si="252"/>
        <v>10</v>
      </c>
      <c r="P99" s="16">
        <f t="shared" si="253"/>
        <v>20</v>
      </c>
      <c r="Q99" s="16">
        <f t="shared" si="303"/>
        <v>-20</v>
      </c>
      <c r="R99" s="14"/>
      <c r="S99" s="15">
        <f t="shared" si="312"/>
        <v>0</v>
      </c>
      <c r="T99" s="14"/>
      <c r="U99" s="15">
        <f t="shared" si="313"/>
        <v>0</v>
      </c>
      <c r="V99" s="16">
        <f t="shared" si="314"/>
        <v>0</v>
      </c>
      <c r="W99" s="17">
        <f t="shared" si="315"/>
        <v>0</v>
      </c>
    </row>
    <row r="100" spans="1:23" ht="10.5" hidden="1" customHeight="1" x14ac:dyDescent="0.2">
      <c r="A100" s="11"/>
      <c r="B100" s="149">
        <f>COUNTA(Spieltag!K87:AA87)</f>
        <v>0</v>
      </c>
      <c r="C100" s="166">
        <f>Spieltag!A87</f>
        <v>13</v>
      </c>
      <c r="D100" s="21" t="str">
        <f>Spieltag!B87</f>
        <v>Nicolas Seiwald (A)</v>
      </c>
      <c r="E100" s="12" t="str">
        <f>Spieltag!C87</f>
        <v>Mittelfeld</v>
      </c>
      <c r="F100" s="13" t="s">
        <v>134</v>
      </c>
      <c r="G100" s="14"/>
      <c r="H100" s="15">
        <f t="shared" si="308"/>
        <v>0</v>
      </c>
      <c r="I100" s="14"/>
      <c r="J100" s="15">
        <f t="shared" si="309"/>
        <v>0</v>
      </c>
      <c r="K100" s="14"/>
      <c r="L100" s="15">
        <f t="shared" si="310"/>
        <v>0</v>
      </c>
      <c r="M100" s="14"/>
      <c r="N100" s="15">
        <f t="shared" si="311"/>
        <v>0</v>
      </c>
      <c r="O100" s="16">
        <f t="shared" si="252"/>
        <v>10</v>
      </c>
      <c r="P100" s="16">
        <f t="shared" si="253"/>
        <v>20</v>
      </c>
      <c r="Q100" s="16">
        <f t="shared" si="303"/>
        <v>-20</v>
      </c>
      <c r="R100" s="14"/>
      <c r="S100" s="15">
        <f t="shared" si="312"/>
        <v>0</v>
      </c>
      <c r="T100" s="14"/>
      <c r="U100" s="15">
        <f t="shared" si="313"/>
        <v>0</v>
      </c>
      <c r="V100" s="16">
        <f t="shared" si="314"/>
        <v>0</v>
      </c>
      <c r="W100" s="17">
        <f t="shared" si="315"/>
        <v>0</v>
      </c>
    </row>
    <row r="101" spans="1:23" ht="10.5" hidden="1" customHeight="1" x14ac:dyDescent="0.2">
      <c r="A101" s="11"/>
      <c r="B101" s="149">
        <f>COUNTA(Spieltag!K88:AA88)</f>
        <v>0</v>
      </c>
      <c r="C101" s="166">
        <f>Spieltag!A88</f>
        <v>14</v>
      </c>
      <c r="D101" s="21" t="str">
        <f>Spieltag!B88</f>
        <v>Christoph Baumgartner (A)</v>
      </c>
      <c r="E101" s="12" t="str">
        <f>Spieltag!C88</f>
        <v>Mittelfeld</v>
      </c>
      <c r="F101" s="13" t="s">
        <v>134</v>
      </c>
      <c r="G101" s="14"/>
      <c r="H101" s="15">
        <f t="shared" si="308"/>
        <v>0</v>
      </c>
      <c r="I101" s="14"/>
      <c r="J101" s="15">
        <f t="shared" si="309"/>
        <v>0</v>
      </c>
      <c r="K101" s="14"/>
      <c r="L101" s="15">
        <f t="shared" si="310"/>
        <v>0</v>
      </c>
      <c r="M101" s="14"/>
      <c r="N101" s="15">
        <f t="shared" si="311"/>
        <v>0</v>
      </c>
      <c r="O101" s="16">
        <f t="shared" si="252"/>
        <v>10</v>
      </c>
      <c r="P101" s="16">
        <f t="shared" si="253"/>
        <v>20</v>
      </c>
      <c r="Q101" s="16">
        <f t="shared" si="303"/>
        <v>-20</v>
      </c>
      <c r="R101" s="14"/>
      <c r="S101" s="15">
        <f t="shared" si="312"/>
        <v>0</v>
      </c>
      <c r="T101" s="14"/>
      <c r="U101" s="15">
        <f t="shared" si="313"/>
        <v>0</v>
      </c>
      <c r="V101" s="16">
        <f t="shared" si="314"/>
        <v>0</v>
      </c>
      <c r="W101" s="17">
        <f t="shared" si="315"/>
        <v>0</v>
      </c>
    </row>
    <row r="102" spans="1:23" ht="10.5" customHeight="1" x14ac:dyDescent="0.2">
      <c r="A102" s="11"/>
      <c r="B102" s="149">
        <f>COUNTA(Spieltag!K89:AA89)</f>
        <v>2</v>
      </c>
      <c r="C102" s="166">
        <f>Spieltag!A89</f>
        <v>20</v>
      </c>
      <c r="D102" s="21" t="str">
        <f>Spieltag!B89</f>
        <v>Xavi Simons (A)</v>
      </c>
      <c r="E102" s="12" t="str">
        <f>Spieltag!C89</f>
        <v>Mittelfeld</v>
      </c>
      <c r="F102" s="13" t="s">
        <v>134</v>
      </c>
      <c r="G102" s="14" t="s">
        <v>676</v>
      </c>
      <c r="H102" s="15">
        <f t="shared" si="308"/>
        <v>10</v>
      </c>
      <c r="I102" s="14" t="s">
        <v>676</v>
      </c>
      <c r="J102" s="15">
        <f t="shared" si="309"/>
        <v>-10</v>
      </c>
      <c r="K102" s="14"/>
      <c r="L102" s="15">
        <f t="shared" si="310"/>
        <v>0</v>
      </c>
      <c r="M102" s="14"/>
      <c r="N102" s="15">
        <f t="shared" si="311"/>
        <v>0</v>
      </c>
      <c r="O102" s="16">
        <f t="shared" si="252"/>
        <v>10</v>
      </c>
      <c r="P102" s="16">
        <f t="shared" si="253"/>
        <v>20</v>
      </c>
      <c r="Q102" s="16">
        <f t="shared" si="303"/>
        <v>-20</v>
      </c>
      <c r="R102" s="14">
        <v>1</v>
      </c>
      <c r="S102" s="15">
        <f t="shared" si="312"/>
        <v>10</v>
      </c>
      <c r="T102" s="14"/>
      <c r="U102" s="15">
        <f t="shared" si="313"/>
        <v>0</v>
      </c>
      <c r="V102" s="16">
        <f t="shared" si="314"/>
        <v>0</v>
      </c>
      <c r="W102" s="17">
        <f t="shared" si="315"/>
        <v>20</v>
      </c>
    </row>
    <row r="103" spans="1:23" ht="10.5" hidden="1" customHeight="1" x14ac:dyDescent="0.2">
      <c r="A103" s="11"/>
      <c r="B103" s="149">
        <f>COUNTA(Spieltag!K90:AA90)</f>
        <v>0</v>
      </c>
      <c r="C103" s="166">
        <f>Spieltag!A90</f>
        <v>24</v>
      </c>
      <c r="D103" s="21" t="str">
        <f>Spieltag!B90</f>
        <v>Xaver Schlager (A)</v>
      </c>
      <c r="E103" s="12" t="str">
        <f>Spieltag!C90</f>
        <v>Mittelfeld</v>
      </c>
      <c r="F103" s="13" t="s">
        <v>134</v>
      </c>
      <c r="G103" s="14"/>
      <c r="H103" s="15">
        <f t="shared" si="308"/>
        <v>0</v>
      </c>
      <c r="I103" s="14"/>
      <c r="J103" s="15">
        <f t="shared" si="309"/>
        <v>0</v>
      </c>
      <c r="K103" s="14"/>
      <c r="L103" s="15">
        <f t="shared" si="310"/>
        <v>0</v>
      </c>
      <c r="M103" s="14"/>
      <c r="N103" s="15">
        <f t="shared" si="311"/>
        <v>0</v>
      </c>
      <c r="O103" s="16">
        <f t="shared" si="252"/>
        <v>10</v>
      </c>
      <c r="P103" s="16">
        <f t="shared" si="253"/>
        <v>20</v>
      </c>
      <c r="Q103" s="16">
        <f t="shared" si="303"/>
        <v>-20</v>
      </c>
      <c r="R103" s="14"/>
      <c r="S103" s="15">
        <f t="shared" si="312"/>
        <v>0</v>
      </c>
      <c r="T103" s="14"/>
      <c r="U103" s="15">
        <f t="shared" si="313"/>
        <v>0</v>
      </c>
      <c r="V103" s="16">
        <f t="shared" si="314"/>
        <v>0</v>
      </c>
      <c r="W103" s="17">
        <f t="shared" si="315"/>
        <v>0</v>
      </c>
    </row>
    <row r="104" spans="1:23" ht="10.5" hidden="1" customHeight="1" x14ac:dyDescent="0.2">
      <c r="A104" s="11"/>
      <c r="B104" s="149">
        <f>COUNTA(Spieltag!K91:AA91)</f>
        <v>0</v>
      </c>
      <c r="C104" s="166">
        <f>Spieltag!A91</f>
        <v>38</v>
      </c>
      <c r="D104" s="21" t="str">
        <f>Spieltag!B91</f>
        <v>Nuha Jatta</v>
      </c>
      <c r="E104" s="12" t="str">
        <f>Spieltag!C91</f>
        <v>Mittelfeld</v>
      </c>
      <c r="F104" s="13" t="s">
        <v>134</v>
      </c>
      <c r="G104" s="14"/>
      <c r="H104" s="15">
        <f t="shared" ref="H104" si="316">IF(G104="x",10,0)</f>
        <v>0</v>
      </c>
      <c r="I104" s="14"/>
      <c r="J104" s="15">
        <f t="shared" ref="J104" si="317">IF((I104="x"),-10,0)</f>
        <v>0</v>
      </c>
      <c r="K104" s="14"/>
      <c r="L104" s="15">
        <f t="shared" ref="L104" si="318">IF((K104="x"),-20,0)</f>
        <v>0</v>
      </c>
      <c r="M104" s="14"/>
      <c r="N104" s="15">
        <f t="shared" ref="N104" si="319">IF((M104="x"),-30,0)</f>
        <v>0</v>
      </c>
      <c r="O104" s="16">
        <f t="shared" si="252"/>
        <v>10</v>
      </c>
      <c r="P104" s="16">
        <f t="shared" si="253"/>
        <v>20</v>
      </c>
      <c r="Q104" s="16">
        <f t="shared" si="303"/>
        <v>-20</v>
      </c>
      <c r="R104" s="14"/>
      <c r="S104" s="15">
        <f t="shared" ref="S104" si="320">R104*10</f>
        <v>0</v>
      </c>
      <c r="T104" s="14"/>
      <c r="U104" s="15">
        <f t="shared" ref="U104" si="321">T104*-15</f>
        <v>0</v>
      </c>
      <c r="V104" s="16">
        <f t="shared" ref="V104" si="322">IF(AND(R104=2),10,IF(R104=3,30,IF(R104=4,50,IF(R104=5,70,0))))</f>
        <v>0</v>
      </c>
      <c r="W104" s="17">
        <f t="shared" ref="W104" si="323">IF(G104="x",H104+J104+L104+N104+O104+P104+Q104+S104+U104+V104,0)</f>
        <v>0</v>
      </c>
    </row>
    <row r="105" spans="1:23" ht="10.5" hidden="1" customHeight="1" x14ac:dyDescent="0.2">
      <c r="A105" s="11"/>
      <c r="B105" s="149">
        <f>COUNTA(Spieltag!K92:AA92)</f>
        <v>0</v>
      </c>
      <c r="C105" s="166">
        <f>Spieltag!A92</f>
        <v>44</v>
      </c>
      <c r="D105" s="21" t="str">
        <f>Spieltag!B92</f>
        <v>Kevin Kampl (A)</v>
      </c>
      <c r="E105" s="12" t="str">
        <f>Spieltag!C92</f>
        <v>Mittelfeld</v>
      </c>
      <c r="F105" s="13" t="s">
        <v>134</v>
      </c>
      <c r="G105" s="14"/>
      <c r="H105" s="15">
        <f t="shared" si="308"/>
        <v>0</v>
      </c>
      <c r="I105" s="14"/>
      <c r="J105" s="15">
        <f t="shared" si="309"/>
        <v>0</v>
      </c>
      <c r="K105" s="14"/>
      <c r="L105" s="15">
        <f t="shared" si="310"/>
        <v>0</v>
      </c>
      <c r="M105" s="14"/>
      <c r="N105" s="15">
        <f t="shared" si="311"/>
        <v>0</v>
      </c>
      <c r="O105" s="16">
        <f t="shared" si="252"/>
        <v>10</v>
      </c>
      <c r="P105" s="16">
        <f t="shared" si="253"/>
        <v>20</v>
      </c>
      <c r="Q105" s="16">
        <f t="shared" si="303"/>
        <v>-20</v>
      </c>
      <c r="R105" s="14"/>
      <c r="S105" s="15">
        <f t="shared" si="312"/>
        <v>0</v>
      </c>
      <c r="T105" s="14"/>
      <c r="U105" s="15">
        <f t="shared" si="313"/>
        <v>0</v>
      </c>
      <c r="V105" s="16">
        <f t="shared" si="314"/>
        <v>0</v>
      </c>
      <c r="W105" s="17">
        <f t="shared" si="315"/>
        <v>0</v>
      </c>
    </row>
    <row r="106" spans="1:23" ht="10.5" hidden="1" customHeight="1" x14ac:dyDescent="0.2">
      <c r="A106" s="11" t="s">
        <v>155</v>
      </c>
      <c r="B106" s="149">
        <f>COUNTA(Spieltag!K93:AA93)</f>
        <v>0</v>
      </c>
      <c r="C106" s="166">
        <f>Spieltag!A93</f>
        <v>9</v>
      </c>
      <c r="D106" s="21" t="str">
        <f>Spieltag!B93</f>
        <v>Yussuf Poulsen (A)</v>
      </c>
      <c r="E106" s="12" t="str">
        <f>Spieltag!C93</f>
        <v>Sturm</v>
      </c>
      <c r="F106" s="13" t="s">
        <v>134</v>
      </c>
      <c r="G106" s="14"/>
      <c r="H106" s="15">
        <f>IF(G106="x",10,0)</f>
        <v>0</v>
      </c>
      <c r="I106" s="14"/>
      <c r="J106" s="15">
        <f>IF((I106="x"),-10,0)</f>
        <v>0</v>
      </c>
      <c r="K106" s="14"/>
      <c r="L106" s="15">
        <f>IF((K106="x"),-20,0)</f>
        <v>0</v>
      </c>
      <c r="M106" s="14"/>
      <c r="N106" s="15">
        <f>IF((M106="x"),-30,0)</f>
        <v>0</v>
      </c>
      <c r="O106" s="16">
        <f>IF(AND($P$8&gt;$Q$8),20,IF($P$8=$Q$8,10,0))</f>
        <v>10</v>
      </c>
      <c r="P106" s="16">
        <f>IF(($P$8&lt;&gt;0),$P$8*10,-5)</f>
        <v>20</v>
      </c>
      <c r="Q106" s="16">
        <f>IF(($Q$8&lt;&gt;0),$Q$8*-10,5)</f>
        <v>-20</v>
      </c>
      <c r="R106" s="14"/>
      <c r="S106" s="15">
        <f>R106*10</f>
        <v>0</v>
      </c>
      <c r="T106" s="14"/>
      <c r="U106" s="15">
        <f>T106*-15</f>
        <v>0</v>
      </c>
      <c r="V106" s="16">
        <f>IF(AND(R106=2),10,IF(R106=3,30,IF(R106=4,50,IF(R106=5,70,0))))</f>
        <v>0</v>
      </c>
      <c r="W106" s="17">
        <f>IF(G106="x",H106+J106+L106+N106+O106+P106+Q106+S106+U106+V106,0)</f>
        <v>0</v>
      </c>
    </row>
    <row r="107" spans="1:23" ht="10.5" customHeight="1" x14ac:dyDescent="0.2">
      <c r="A107" s="11" t="s">
        <v>155</v>
      </c>
      <c r="B107" s="149">
        <f>COUNTA(Spieltag!K94:AA94)</f>
        <v>3</v>
      </c>
      <c r="C107" s="166">
        <f>Spieltag!A94</f>
        <v>17</v>
      </c>
      <c r="D107" s="21" t="str">
        <f>Spieltag!B94</f>
        <v>Loїs Openda (A)</v>
      </c>
      <c r="E107" s="12" t="str">
        <f>Spieltag!C94</f>
        <v>Sturm</v>
      </c>
      <c r="F107" s="13" t="s">
        <v>134</v>
      </c>
      <c r="G107" s="14" t="s">
        <v>676</v>
      </c>
      <c r="H107" s="15">
        <f t="shared" ref="H107:H109" si="324">IF(G107="x",10,0)</f>
        <v>10</v>
      </c>
      <c r="I107" s="14"/>
      <c r="J107" s="15">
        <f t="shared" ref="J107:J109" si="325">IF((I107="x"),-10,0)</f>
        <v>0</v>
      </c>
      <c r="K107" s="14"/>
      <c r="L107" s="15">
        <f t="shared" ref="L107:L109" si="326">IF((K107="x"),-20,0)</f>
        <v>0</v>
      </c>
      <c r="M107" s="14"/>
      <c r="N107" s="15">
        <f t="shared" ref="N107:N109" si="327">IF((M107="x"),-30,0)</f>
        <v>0</v>
      </c>
      <c r="O107" s="16">
        <f t="shared" ref="O107:O109" si="328">IF(AND($P$8&gt;$Q$8),20,IF($P$8=$Q$8,10,0))</f>
        <v>10</v>
      </c>
      <c r="P107" s="16">
        <f t="shared" ref="P107:P109" si="329">IF(($P$8&lt;&gt;0),$P$8*10,-5)</f>
        <v>20</v>
      </c>
      <c r="Q107" s="16">
        <f t="shared" ref="Q107:Q109" si="330">IF(($Q$8&lt;&gt;0),$Q$8*-10,5)</f>
        <v>-20</v>
      </c>
      <c r="R107" s="14"/>
      <c r="S107" s="15">
        <f t="shared" ref="S107:S109" si="331">R107*10</f>
        <v>0</v>
      </c>
      <c r="T107" s="14"/>
      <c r="U107" s="15">
        <f t="shared" ref="U107:U109" si="332">T107*-15</f>
        <v>0</v>
      </c>
      <c r="V107" s="16">
        <f t="shared" ref="V107:V109" si="333">IF(AND(R107=2),10,IF(R107=3,30,IF(R107=4,50,IF(R107=5,70,0))))</f>
        <v>0</v>
      </c>
      <c r="W107" s="17">
        <f t="shared" ref="W107:W109" si="334">IF(G107="x",H107+J107+L107+N107+O107+P107+Q107+S107+U107+V107,0)</f>
        <v>20</v>
      </c>
    </row>
    <row r="108" spans="1:23" ht="10.5" customHeight="1" x14ac:dyDescent="0.2">
      <c r="A108" s="11" t="s">
        <v>155</v>
      </c>
      <c r="B108" s="149">
        <f>COUNTA(Spieltag!K95:AA95)</f>
        <v>2</v>
      </c>
      <c r="C108" s="166">
        <f>Spieltag!A95</f>
        <v>30</v>
      </c>
      <c r="D108" s="21" t="str">
        <f>Spieltag!B95</f>
        <v>Benjamin Šeško (A)</v>
      </c>
      <c r="E108" s="12" t="str">
        <f>Spieltag!C95</f>
        <v>Sturm</v>
      </c>
      <c r="F108" s="13" t="s">
        <v>134</v>
      </c>
      <c r="G108" s="14" t="s">
        <v>676</v>
      </c>
      <c r="H108" s="15">
        <f t="shared" ref="H108" si="335">IF(G108="x",10,0)</f>
        <v>10</v>
      </c>
      <c r="I108" s="14"/>
      <c r="J108" s="15">
        <f t="shared" ref="J108" si="336">IF((I108="x"),-10,0)</f>
        <v>0</v>
      </c>
      <c r="K108" s="14"/>
      <c r="L108" s="15">
        <f t="shared" ref="L108" si="337">IF((K108="x"),-20,0)</f>
        <v>0</v>
      </c>
      <c r="M108" s="14"/>
      <c r="N108" s="15">
        <f t="shared" ref="N108" si="338">IF((M108="x"),-30,0)</f>
        <v>0</v>
      </c>
      <c r="O108" s="16">
        <f t="shared" si="328"/>
        <v>10</v>
      </c>
      <c r="P108" s="16">
        <f t="shared" si="329"/>
        <v>20</v>
      </c>
      <c r="Q108" s="16">
        <f t="shared" si="330"/>
        <v>-20</v>
      </c>
      <c r="R108" s="14">
        <v>1</v>
      </c>
      <c r="S108" s="15">
        <f t="shared" ref="S108" si="339">R108*10</f>
        <v>10</v>
      </c>
      <c r="T108" s="14"/>
      <c r="U108" s="15">
        <f t="shared" ref="U108" si="340">T108*-15</f>
        <v>0</v>
      </c>
      <c r="V108" s="16">
        <f t="shared" ref="V108" si="341">IF(AND(R108=2),10,IF(R108=3,30,IF(R108=4,50,IF(R108=5,70,0))))</f>
        <v>0</v>
      </c>
      <c r="W108" s="17">
        <f t="shared" ref="W108" si="342">IF(G108="x",H108+J108+L108+N108+O108+P108+Q108+S108+U108+V108,0)</f>
        <v>30</v>
      </c>
    </row>
    <row r="109" spans="1:23" ht="10.5" hidden="1" customHeight="1" x14ac:dyDescent="0.2">
      <c r="A109" s="11" t="s">
        <v>155</v>
      </c>
      <c r="B109" s="149">
        <f>COUNTA(Spieltag!K96:AA96)</f>
        <v>0</v>
      </c>
      <c r="C109" s="166">
        <f>Spieltag!A96</f>
        <v>46</v>
      </c>
      <c r="D109" s="21" t="str">
        <f>Spieltag!B96</f>
        <v>Yannick Eduardo (A)</v>
      </c>
      <c r="E109" s="12" t="str">
        <f>Spieltag!C96</f>
        <v>Sturm</v>
      </c>
      <c r="F109" s="13" t="s">
        <v>134</v>
      </c>
      <c r="G109" s="14"/>
      <c r="H109" s="15">
        <f t="shared" si="324"/>
        <v>0</v>
      </c>
      <c r="I109" s="14"/>
      <c r="J109" s="15">
        <f t="shared" si="325"/>
        <v>0</v>
      </c>
      <c r="K109" s="14"/>
      <c r="L109" s="15">
        <f t="shared" si="326"/>
        <v>0</v>
      </c>
      <c r="M109" s="14"/>
      <c r="N109" s="15">
        <f t="shared" si="327"/>
        <v>0</v>
      </c>
      <c r="O109" s="16">
        <f t="shared" si="328"/>
        <v>10</v>
      </c>
      <c r="P109" s="16">
        <f t="shared" si="329"/>
        <v>20</v>
      </c>
      <c r="Q109" s="16">
        <f t="shared" si="330"/>
        <v>-20</v>
      </c>
      <c r="R109" s="14"/>
      <c r="S109" s="15">
        <f t="shared" si="331"/>
        <v>0</v>
      </c>
      <c r="T109" s="14"/>
      <c r="U109" s="15">
        <f t="shared" si="332"/>
        <v>0</v>
      </c>
      <c r="V109" s="16">
        <f t="shared" si="333"/>
        <v>0</v>
      </c>
      <c r="W109" s="17">
        <f t="shared" si="334"/>
        <v>0</v>
      </c>
    </row>
    <row r="110" spans="1:23" s="144" customFormat="1" ht="17.25" thickBot="1" x14ac:dyDescent="0.25">
      <c r="A110" s="142"/>
      <c r="B110" s="143">
        <f>SUM(A111:B136)</f>
        <v>1</v>
      </c>
      <c r="C110" s="158"/>
      <c r="D110" s="221" t="s">
        <v>177</v>
      </c>
      <c r="E110" s="221"/>
      <c r="F110" s="221"/>
      <c r="G110" s="221"/>
      <c r="H110" s="221"/>
      <c r="I110" s="221"/>
      <c r="J110" s="221"/>
      <c r="K110" s="221"/>
      <c r="L110" s="221"/>
      <c r="M110" s="221"/>
      <c r="N110" s="221"/>
      <c r="O110" s="221"/>
      <c r="P110" s="221"/>
      <c r="Q110" s="221"/>
      <c r="R110" s="221"/>
      <c r="S110" s="221"/>
      <c r="T110" s="221"/>
      <c r="U110" s="221"/>
      <c r="V110" s="221"/>
      <c r="W110" s="222"/>
    </row>
    <row r="111" spans="1:23" ht="10.5" hidden="1" customHeight="1" x14ac:dyDescent="0.2">
      <c r="A111" s="11"/>
      <c r="B111" s="150">
        <f>COUNTA(Spieltag!K98:AA98)</f>
        <v>0</v>
      </c>
      <c r="C111" s="166">
        <f>Spieltag!A98</f>
        <v>1</v>
      </c>
      <c r="D111" s="21" t="str">
        <f>Spieltag!B98</f>
        <v>Frederik Rønnow (A)</v>
      </c>
      <c r="E111" s="151" t="str">
        <f>Spieltag!C98</f>
        <v>Torwart</v>
      </c>
      <c r="F111" s="152" t="s">
        <v>178</v>
      </c>
      <c r="G111" s="153"/>
      <c r="H111" s="154">
        <f>IF(G111="x",10,0)</f>
        <v>0</v>
      </c>
      <c r="I111" s="153"/>
      <c r="J111" s="154">
        <f>IF((I111="x"),-10,0)</f>
        <v>0</v>
      </c>
      <c r="K111" s="153"/>
      <c r="L111" s="154">
        <f>IF((K111="x"),-20,0)</f>
        <v>0</v>
      </c>
      <c r="M111" s="153"/>
      <c r="N111" s="154">
        <f>IF((M111="x"),-30,0)</f>
        <v>0</v>
      </c>
      <c r="O111" s="155">
        <f t="shared" ref="O111:O136" si="343">IF(AND($V$4&gt;$W$4),20,IF($V$4=$W$4,10,0))</f>
        <v>20</v>
      </c>
      <c r="P111" s="155">
        <f t="shared" ref="P111:P136" si="344">IF(($V$4&lt;&gt;0),$V$4*10,-5)</f>
        <v>20</v>
      </c>
      <c r="Q111" s="155">
        <f>IF(($W$4&lt;&gt;0),$W$4*-10,20)</f>
        <v>-10</v>
      </c>
      <c r="R111" s="153"/>
      <c r="S111" s="154">
        <f>R111*20</f>
        <v>0</v>
      </c>
      <c r="T111" s="153"/>
      <c r="U111" s="154">
        <f>T111*-15</f>
        <v>0</v>
      </c>
      <c r="V111" s="155">
        <f>IF(AND(R111=2),10,IF(R111=3,30,IF(R111=4,50,IF(R111=5,70,0))))</f>
        <v>0</v>
      </c>
      <c r="W111" s="156">
        <f>IF(G111="x",H111+J111+L111+N111+O111+P111+Q111+S111+U111+V111,0)</f>
        <v>0</v>
      </c>
    </row>
    <row r="112" spans="1:23" ht="10.5" hidden="1" customHeight="1" x14ac:dyDescent="0.2">
      <c r="A112" s="11"/>
      <c r="B112" s="150">
        <f>COUNTA(Spieltag!K99:AA99)</f>
        <v>0</v>
      </c>
      <c r="C112" s="166">
        <f>Spieltag!A99</f>
        <v>12</v>
      </c>
      <c r="D112" s="21" t="str">
        <f>Spieltag!B99</f>
        <v>Jakob Busk (A)</v>
      </c>
      <c r="E112" s="151" t="str">
        <f>Spieltag!C99</f>
        <v>Torwart</v>
      </c>
      <c r="F112" s="152" t="s">
        <v>178</v>
      </c>
      <c r="G112" s="153"/>
      <c r="H112" s="154">
        <f t="shared" ref="H112:H114" si="345">IF(G112="x",10,0)</f>
        <v>0</v>
      </c>
      <c r="I112" s="153"/>
      <c r="J112" s="154">
        <f t="shared" ref="J112:J114" si="346">IF((I112="x"),-10,0)</f>
        <v>0</v>
      </c>
      <c r="K112" s="153"/>
      <c r="L112" s="154">
        <f t="shared" ref="L112:L114" si="347">IF((K112="x"),-20,0)</f>
        <v>0</v>
      </c>
      <c r="M112" s="153"/>
      <c r="N112" s="154">
        <f t="shared" ref="N112:N114" si="348">IF((M112="x"),-30,0)</f>
        <v>0</v>
      </c>
      <c r="O112" s="155">
        <f t="shared" si="343"/>
        <v>20</v>
      </c>
      <c r="P112" s="155">
        <f t="shared" si="344"/>
        <v>20</v>
      </c>
      <c r="Q112" s="155">
        <f t="shared" ref="Q112:Q114" si="349">IF(($W$4&lt;&gt;0),$W$4*-10,20)</f>
        <v>-10</v>
      </c>
      <c r="R112" s="153"/>
      <c r="S112" s="154">
        <f t="shared" ref="S112:S114" si="350">R112*20</f>
        <v>0</v>
      </c>
      <c r="T112" s="153"/>
      <c r="U112" s="154">
        <f t="shared" ref="U112:U114" si="351">T112*-15</f>
        <v>0</v>
      </c>
      <c r="V112" s="155">
        <f t="shared" ref="V112:V114" si="352">IF(AND(R112=2),10,IF(R112=3,30,IF(R112=4,50,IF(R112=5,70,0))))</f>
        <v>0</v>
      </c>
      <c r="W112" s="156">
        <f t="shared" ref="W112:W114" si="353">IF(G112="x",H112+J112+L112+N112+O112+P112+Q112+S112+U112+V112,0)</f>
        <v>0</v>
      </c>
    </row>
    <row r="113" spans="1:23" ht="10.5" hidden="1" customHeight="1" x14ac:dyDescent="0.2">
      <c r="A113" s="11"/>
      <c r="B113" s="150">
        <f>COUNTA(Spieltag!K100:AA100)</f>
        <v>0</v>
      </c>
      <c r="C113" s="166">
        <f>Spieltag!A100</f>
        <v>37</v>
      </c>
      <c r="D113" s="21" t="str">
        <f>Spieltag!B100</f>
        <v>Alexander Schwolow</v>
      </c>
      <c r="E113" s="151" t="str">
        <f>Spieltag!C100</f>
        <v>Torwart</v>
      </c>
      <c r="F113" s="152" t="s">
        <v>178</v>
      </c>
      <c r="G113" s="153"/>
      <c r="H113" s="154">
        <f t="shared" ref="H113" si="354">IF(G113="x",10,0)</f>
        <v>0</v>
      </c>
      <c r="I113" s="153"/>
      <c r="J113" s="154">
        <f t="shared" ref="J113" si="355">IF((I113="x"),-10,0)</f>
        <v>0</v>
      </c>
      <c r="K113" s="153"/>
      <c r="L113" s="154">
        <f t="shared" ref="L113" si="356">IF((K113="x"),-20,0)</f>
        <v>0</v>
      </c>
      <c r="M113" s="153"/>
      <c r="N113" s="154">
        <f t="shared" ref="N113" si="357">IF((M113="x"),-30,0)</f>
        <v>0</v>
      </c>
      <c r="O113" s="155">
        <f t="shared" si="343"/>
        <v>20</v>
      </c>
      <c r="P113" s="155">
        <f t="shared" si="344"/>
        <v>20</v>
      </c>
      <c r="Q113" s="155">
        <f t="shared" si="349"/>
        <v>-10</v>
      </c>
      <c r="R113" s="153"/>
      <c r="S113" s="154">
        <f t="shared" ref="S113" si="358">R113*20</f>
        <v>0</v>
      </c>
      <c r="T113" s="153"/>
      <c r="U113" s="154">
        <f t="shared" ref="U113" si="359">T113*-15</f>
        <v>0</v>
      </c>
      <c r="V113" s="155">
        <f t="shared" ref="V113" si="360">IF(AND(R113=2),10,IF(R113=3,30,IF(R113=4,50,IF(R113=5,70,0))))</f>
        <v>0</v>
      </c>
      <c r="W113" s="156">
        <f t="shared" ref="W113" si="361">IF(G113="x",H113+J113+L113+N113+O113+P113+Q113+S113+U113+V113,0)</f>
        <v>0</v>
      </c>
    </row>
    <row r="114" spans="1:23" ht="10.5" hidden="1" customHeight="1" x14ac:dyDescent="0.2">
      <c r="A114" s="11"/>
      <c r="B114" s="150">
        <f>COUNTA(Spieltag!K101:AA101)</f>
        <v>0</v>
      </c>
      <c r="C114" s="166">
        <f>Spieltag!A101</f>
        <v>39</v>
      </c>
      <c r="D114" s="21" t="str">
        <f>Spieltag!B101</f>
        <v>Yannic Stein</v>
      </c>
      <c r="E114" s="151" t="str">
        <f>Spieltag!C101</f>
        <v>Torwart</v>
      </c>
      <c r="F114" s="152" t="s">
        <v>178</v>
      </c>
      <c r="G114" s="153"/>
      <c r="H114" s="154">
        <f t="shared" si="345"/>
        <v>0</v>
      </c>
      <c r="I114" s="153"/>
      <c r="J114" s="154">
        <f t="shared" si="346"/>
        <v>0</v>
      </c>
      <c r="K114" s="153"/>
      <c r="L114" s="154">
        <f t="shared" si="347"/>
        <v>0</v>
      </c>
      <c r="M114" s="153"/>
      <c r="N114" s="154">
        <f t="shared" si="348"/>
        <v>0</v>
      </c>
      <c r="O114" s="155">
        <f t="shared" si="343"/>
        <v>20</v>
      </c>
      <c r="P114" s="155">
        <f t="shared" si="344"/>
        <v>20</v>
      </c>
      <c r="Q114" s="155">
        <f t="shared" si="349"/>
        <v>-10</v>
      </c>
      <c r="R114" s="153"/>
      <c r="S114" s="154">
        <f t="shared" si="350"/>
        <v>0</v>
      </c>
      <c r="T114" s="153"/>
      <c r="U114" s="154">
        <f t="shared" si="351"/>
        <v>0</v>
      </c>
      <c r="V114" s="155">
        <f t="shared" si="352"/>
        <v>0</v>
      </c>
      <c r="W114" s="156">
        <f t="shared" si="353"/>
        <v>0</v>
      </c>
    </row>
    <row r="115" spans="1:23" ht="10.5" hidden="1" customHeight="1" x14ac:dyDescent="0.2">
      <c r="A115" s="11"/>
      <c r="B115" s="150">
        <f>COUNTA(Spieltag!K102:AA102)</f>
        <v>0</v>
      </c>
      <c r="C115" s="166">
        <f>Spieltag!A102</f>
        <v>2</v>
      </c>
      <c r="D115" s="21" t="str">
        <f>Spieltag!B102</f>
        <v>Kevin Vogt</v>
      </c>
      <c r="E115" s="151" t="str">
        <f>Spieltag!C102</f>
        <v>Abwehr</v>
      </c>
      <c r="F115" s="152" t="s">
        <v>178</v>
      </c>
      <c r="G115" s="153"/>
      <c r="H115" s="154">
        <f t="shared" ref="H115" si="362">IF(G115="x",10,0)</f>
        <v>0</v>
      </c>
      <c r="I115" s="153"/>
      <c r="J115" s="154">
        <f t="shared" ref="J115" si="363">IF((I115="x"),-10,0)</f>
        <v>0</v>
      </c>
      <c r="K115" s="153"/>
      <c r="L115" s="154">
        <f t="shared" ref="L115" si="364">IF((K115="x"),-20,0)</f>
        <v>0</v>
      </c>
      <c r="M115" s="153"/>
      <c r="N115" s="154">
        <f t="shared" ref="N115" si="365">IF((M115="x"),-30,0)</f>
        <v>0</v>
      </c>
      <c r="O115" s="155">
        <f t="shared" si="343"/>
        <v>20</v>
      </c>
      <c r="P115" s="155">
        <f t="shared" si="344"/>
        <v>20</v>
      </c>
      <c r="Q115" s="155">
        <f t="shared" ref="Q115:Q124" si="366">IF(($W$4&lt;&gt;0),$W$4*-10,15)</f>
        <v>-10</v>
      </c>
      <c r="R115" s="153"/>
      <c r="S115" s="154">
        <f t="shared" ref="S115" si="367">R115*15</f>
        <v>0</v>
      </c>
      <c r="T115" s="153"/>
      <c r="U115" s="154">
        <f t="shared" ref="U115" si="368">T115*-15</f>
        <v>0</v>
      </c>
      <c r="V115" s="155">
        <f t="shared" ref="V115" si="369">IF(AND(R115=2),10,IF(R115=3,30,IF(R115=4,50,IF(R115=5,70,0))))</f>
        <v>0</v>
      </c>
      <c r="W115" s="156">
        <f t="shared" ref="W115" si="370">IF(G115="x",H115+J115+L115+N115+O115+P115+Q115+S115+U115+V115,0)</f>
        <v>0</v>
      </c>
    </row>
    <row r="116" spans="1:23" ht="10.5" hidden="1" customHeight="1" x14ac:dyDescent="0.2">
      <c r="A116" s="11"/>
      <c r="B116" s="150">
        <f>COUNTA(Spieltag!K103:AA103)</f>
        <v>0</v>
      </c>
      <c r="C116" s="166">
        <f>Spieltag!A103</f>
        <v>3</v>
      </c>
      <c r="D116" s="21" t="str">
        <f>Spieltag!B103</f>
        <v>Paul Jaeckel</v>
      </c>
      <c r="E116" s="151" t="str">
        <f>Spieltag!C103</f>
        <v>Abwehr</v>
      </c>
      <c r="F116" s="152" t="s">
        <v>178</v>
      </c>
      <c r="G116" s="153"/>
      <c r="H116" s="154">
        <f t="shared" ref="H116:H124" si="371">IF(G116="x",10,0)</f>
        <v>0</v>
      </c>
      <c r="I116" s="153"/>
      <c r="J116" s="154">
        <f t="shared" ref="J116:J124" si="372">IF((I116="x"),-10,0)</f>
        <v>0</v>
      </c>
      <c r="K116" s="153"/>
      <c r="L116" s="154">
        <f t="shared" ref="L116:L124" si="373">IF((K116="x"),-20,0)</f>
        <v>0</v>
      </c>
      <c r="M116" s="153"/>
      <c r="N116" s="154">
        <f t="shared" ref="N116:N124" si="374">IF((M116="x"),-30,0)</f>
        <v>0</v>
      </c>
      <c r="O116" s="155">
        <f t="shared" si="343"/>
        <v>20</v>
      </c>
      <c r="P116" s="155">
        <f t="shared" si="344"/>
        <v>20</v>
      </c>
      <c r="Q116" s="155">
        <f t="shared" si="366"/>
        <v>-10</v>
      </c>
      <c r="R116" s="153"/>
      <c r="S116" s="154">
        <f t="shared" ref="S116:S124" si="375">R116*15</f>
        <v>0</v>
      </c>
      <c r="T116" s="153"/>
      <c r="U116" s="154">
        <f t="shared" ref="U116:U124" si="376">T116*-15</f>
        <v>0</v>
      </c>
      <c r="V116" s="155">
        <f t="shared" ref="V116:V124" si="377">IF(AND(R116=2),10,IF(R116=3,30,IF(R116=4,50,IF(R116=5,70,0))))</f>
        <v>0</v>
      </c>
      <c r="W116" s="156">
        <f t="shared" ref="W116:W124" si="378">IF(G116="x",H116+J116+L116+N116+O116+P116+Q116+S116+U116+V116,0)</f>
        <v>0</v>
      </c>
    </row>
    <row r="117" spans="1:23" ht="10.5" hidden="1" customHeight="1" x14ac:dyDescent="0.2">
      <c r="A117" s="11"/>
      <c r="B117" s="150">
        <f>COUNTA(Spieltag!K104:AA104)</f>
        <v>0</v>
      </c>
      <c r="C117" s="166">
        <f>Spieltag!A104</f>
        <v>4</v>
      </c>
      <c r="D117" s="21" t="str">
        <f>Spieltag!B104</f>
        <v>Diogo Leite (A)</v>
      </c>
      <c r="E117" s="151" t="str">
        <f>Spieltag!C104</f>
        <v>Abwehr</v>
      </c>
      <c r="F117" s="152" t="s">
        <v>178</v>
      </c>
      <c r="G117" s="153"/>
      <c r="H117" s="154">
        <f t="shared" si="371"/>
        <v>0</v>
      </c>
      <c r="I117" s="153"/>
      <c r="J117" s="154">
        <f t="shared" si="372"/>
        <v>0</v>
      </c>
      <c r="K117" s="153"/>
      <c r="L117" s="154">
        <f t="shared" si="373"/>
        <v>0</v>
      </c>
      <c r="M117" s="153"/>
      <c r="N117" s="154">
        <f t="shared" si="374"/>
        <v>0</v>
      </c>
      <c r="O117" s="155">
        <f t="shared" si="343"/>
        <v>20</v>
      </c>
      <c r="P117" s="155">
        <f t="shared" si="344"/>
        <v>20</v>
      </c>
      <c r="Q117" s="155">
        <f t="shared" si="366"/>
        <v>-10</v>
      </c>
      <c r="R117" s="153"/>
      <c r="S117" s="154">
        <f t="shared" si="375"/>
        <v>0</v>
      </c>
      <c r="T117" s="153"/>
      <c r="U117" s="154">
        <f t="shared" si="376"/>
        <v>0</v>
      </c>
      <c r="V117" s="155">
        <f t="shared" si="377"/>
        <v>0</v>
      </c>
      <c r="W117" s="156">
        <f t="shared" si="378"/>
        <v>0</v>
      </c>
    </row>
    <row r="118" spans="1:23" ht="10.5" hidden="1" customHeight="1" x14ac:dyDescent="0.2">
      <c r="A118" s="11"/>
      <c r="B118" s="150">
        <f>COUNTA(Spieltag!K105:AA105)</f>
        <v>0</v>
      </c>
      <c r="C118" s="166">
        <f>Spieltag!A105</f>
        <v>5</v>
      </c>
      <c r="D118" s="21" t="str">
        <f>Spieltag!B105</f>
        <v>Danilho Doekhi (A)</v>
      </c>
      <c r="E118" s="151" t="str">
        <f>Spieltag!C105</f>
        <v>Abwehr</v>
      </c>
      <c r="F118" s="152" t="s">
        <v>178</v>
      </c>
      <c r="G118" s="153"/>
      <c r="H118" s="154">
        <f t="shared" ref="H118" si="379">IF(G118="x",10,0)</f>
        <v>0</v>
      </c>
      <c r="I118" s="153"/>
      <c r="J118" s="154">
        <f t="shared" ref="J118" si="380">IF((I118="x"),-10,0)</f>
        <v>0</v>
      </c>
      <c r="K118" s="153"/>
      <c r="L118" s="154">
        <f t="shared" ref="L118" si="381">IF((K118="x"),-20,0)</f>
        <v>0</v>
      </c>
      <c r="M118" s="153"/>
      <c r="N118" s="154">
        <f t="shared" ref="N118" si="382">IF((M118="x"),-30,0)</f>
        <v>0</v>
      </c>
      <c r="O118" s="155">
        <f t="shared" si="343"/>
        <v>20</v>
      </c>
      <c r="P118" s="155">
        <f t="shared" si="344"/>
        <v>20</v>
      </c>
      <c r="Q118" s="155">
        <f t="shared" si="366"/>
        <v>-10</v>
      </c>
      <c r="R118" s="153"/>
      <c r="S118" s="154">
        <f t="shared" ref="S118" si="383">R118*15</f>
        <v>0</v>
      </c>
      <c r="T118" s="153"/>
      <c r="U118" s="154">
        <f t="shared" ref="U118" si="384">T118*-15</f>
        <v>0</v>
      </c>
      <c r="V118" s="155">
        <f t="shared" ref="V118" si="385">IF(AND(R118=2),10,IF(R118=3,30,IF(R118=4,50,IF(R118=5,70,0))))</f>
        <v>0</v>
      </c>
      <c r="W118" s="156">
        <f t="shared" ref="W118" si="386">IF(G118="x",H118+J118+L118+N118+O118+P118+Q118+S118+U118+V118,0)</f>
        <v>0</v>
      </c>
    </row>
    <row r="119" spans="1:23" ht="10.5" customHeight="1" x14ac:dyDescent="0.2">
      <c r="A119" s="11"/>
      <c r="B119" s="150">
        <f>COUNTA(Spieltag!K106:AA106)</f>
        <v>1</v>
      </c>
      <c r="C119" s="166">
        <f>Spieltag!A106</f>
        <v>6</v>
      </c>
      <c r="D119" s="21" t="str">
        <f>Spieltag!B106</f>
        <v>Robin Gosens</v>
      </c>
      <c r="E119" s="151" t="str">
        <f>Spieltag!C106</f>
        <v>Abwehr</v>
      </c>
      <c r="F119" s="152" t="s">
        <v>178</v>
      </c>
      <c r="G119" s="153" t="s">
        <v>676</v>
      </c>
      <c r="H119" s="154">
        <f t="shared" si="371"/>
        <v>10</v>
      </c>
      <c r="I119" s="153" t="s">
        <v>676</v>
      </c>
      <c r="J119" s="154">
        <f t="shared" si="372"/>
        <v>-10</v>
      </c>
      <c r="K119" s="153"/>
      <c r="L119" s="154">
        <f t="shared" si="373"/>
        <v>0</v>
      </c>
      <c r="M119" s="153"/>
      <c r="N119" s="154">
        <f t="shared" si="374"/>
        <v>0</v>
      </c>
      <c r="O119" s="155">
        <f t="shared" si="343"/>
        <v>20</v>
      </c>
      <c r="P119" s="155">
        <f t="shared" si="344"/>
        <v>20</v>
      </c>
      <c r="Q119" s="155">
        <f t="shared" si="366"/>
        <v>-10</v>
      </c>
      <c r="R119" s="153"/>
      <c r="S119" s="154">
        <f t="shared" si="375"/>
        <v>0</v>
      </c>
      <c r="T119" s="153"/>
      <c r="U119" s="154">
        <f t="shared" si="376"/>
        <v>0</v>
      </c>
      <c r="V119" s="155">
        <f t="shared" si="377"/>
        <v>0</v>
      </c>
      <c r="W119" s="156">
        <f t="shared" si="378"/>
        <v>30</v>
      </c>
    </row>
    <row r="120" spans="1:23" ht="10.5" hidden="1" customHeight="1" x14ac:dyDescent="0.2">
      <c r="A120" s="11"/>
      <c r="B120" s="150">
        <f>COUNTA(Spieltag!K107:AA107)</f>
        <v>0</v>
      </c>
      <c r="C120" s="166">
        <f>Spieltag!A107</f>
        <v>18</v>
      </c>
      <c r="D120" s="21" t="str">
        <f>Spieltag!B107</f>
        <v>Josip Juranovic (A)</v>
      </c>
      <c r="E120" s="151" t="str">
        <f>Spieltag!C107</f>
        <v>Abwehr</v>
      </c>
      <c r="F120" s="152" t="s">
        <v>178</v>
      </c>
      <c r="G120" s="153"/>
      <c r="H120" s="154">
        <f t="shared" ref="H120" si="387">IF(G120="x",10,0)</f>
        <v>0</v>
      </c>
      <c r="I120" s="153"/>
      <c r="J120" s="154">
        <f t="shared" ref="J120" si="388">IF((I120="x"),-10,0)</f>
        <v>0</v>
      </c>
      <c r="K120" s="153"/>
      <c r="L120" s="154">
        <f t="shared" ref="L120" si="389">IF((K120="x"),-20,0)</f>
        <v>0</v>
      </c>
      <c r="M120" s="153"/>
      <c r="N120" s="154">
        <f t="shared" ref="N120" si="390">IF((M120="x"),-30,0)</f>
        <v>0</v>
      </c>
      <c r="O120" s="155">
        <f t="shared" si="343"/>
        <v>20</v>
      </c>
      <c r="P120" s="155">
        <f t="shared" si="344"/>
        <v>20</v>
      </c>
      <c r="Q120" s="155">
        <f t="shared" si="366"/>
        <v>-10</v>
      </c>
      <c r="R120" s="153"/>
      <c r="S120" s="154">
        <f t="shared" ref="S120" si="391">R120*15</f>
        <v>0</v>
      </c>
      <c r="T120" s="153"/>
      <c r="U120" s="154">
        <f t="shared" ref="U120" si="392">T120*-15</f>
        <v>0</v>
      </c>
      <c r="V120" s="155">
        <f t="shared" ref="V120" si="393">IF(AND(R120=2),10,IF(R120=3,30,IF(R120=4,50,IF(R120=5,70,0))))</f>
        <v>0</v>
      </c>
      <c r="W120" s="156">
        <f t="shared" ref="W120" si="394">IF(G120="x",H120+J120+L120+N120+O120+P120+Q120+S120+U120+V120,0)</f>
        <v>0</v>
      </c>
    </row>
    <row r="121" spans="1:23" ht="10.5" hidden="1" customHeight="1" x14ac:dyDescent="0.2">
      <c r="A121" s="11"/>
      <c r="B121" s="150">
        <f>COUNTA(Spieltag!K108:AA108)</f>
        <v>0</v>
      </c>
      <c r="C121" s="166">
        <f>Spieltag!A108</f>
        <v>26</v>
      </c>
      <c r="D121" s="21" t="str">
        <f>Spieltag!B108</f>
        <v>Jerome Roussillon (A)</v>
      </c>
      <c r="E121" s="151" t="str">
        <f>Spieltag!C108</f>
        <v>Abwehr</v>
      </c>
      <c r="F121" s="152" t="s">
        <v>178</v>
      </c>
      <c r="G121" s="153"/>
      <c r="H121" s="154">
        <f t="shared" si="371"/>
        <v>0</v>
      </c>
      <c r="I121" s="153"/>
      <c r="J121" s="154">
        <f t="shared" si="372"/>
        <v>0</v>
      </c>
      <c r="K121" s="153"/>
      <c r="L121" s="154">
        <f t="shared" si="373"/>
        <v>0</v>
      </c>
      <c r="M121" s="153"/>
      <c r="N121" s="154">
        <f t="shared" si="374"/>
        <v>0</v>
      </c>
      <c r="O121" s="155">
        <f t="shared" si="343"/>
        <v>20</v>
      </c>
      <c r="P121" s="155">
        <f t="shared" si="344"/>
        <v>20</v>
      </c>
      <c r="Q121" s="155">
        <f t="shared" si="366"/>
        <v>-10</v>
      </c>
      <c r="R121" s="153"/>
      <c r="S121" s="154">
        <f t="shared" si="375"/>
        <v>0</v>
      </c>
      <c r="T121" s="153"/>
      <c r="U121" s="154">
        <f t="shared" si="376"/>
        <v>0</v>
      </c>
      <c r="V121" s="155">
        <f t="shared" si="377"/>
        <v>0</v>
      </c>
      <c r="W121" s="156">
        <f t="shared" si="378"/>
        <v>0</v>
      </c>
    </row>
    <row r="122" spans="1:23" ht="10.5" hidden="1" customHeight="1" x14ac:dyDescent="0.2">
      <c r="A122" s="11"/>
      <c r="B122" s="150">
        <f>COUNTA(Spieltag!K109:AA109)</f>
        <v>0</v>
      </c>
      <c r="C122" s="166">
        <f>Spieltag!A109</f>
        <v>28</v>
      </c>
      <c r="D122" s="21" t="str">
        <f>Spieltag!B109</f>
        <v>Christopher Trimmel (A)</v>
      </c>
      <c r="E122" s="151" t="str">
        <f>Spieltag!C109</f>
        <v>Abwehr</v>
      </c>
      <c r="F122" s="152" t="s">
        <v>178</v>
      </c>
      <c r="G122" s="153"/>
      <c r="H122" s="154">
        <f t="shared" si="371"/>
        <v>0</v>
      </c>
      <c r="I122" s="153"/>
      <c r="J122" s="154">
        <f t="shared" si="372"/>
        <v>0</v>
      </c>
      <c r="K122" s="153"/>
      <c r="L122" s="154">
        <f t="shared" si="373"/>
        <v>0</v>
      </c>
      <c r="M122" s="153"/>
      <c r="N122" s="154">
        <f t="shared" si="374"/>
        <v>0</v>
      </c>
      <c r="O122" s="155">
        <f t="shared" si="343"/>
        <v>20</v>
      </c>
      <c r="P122" s="155">
        <f t="shared" si="344"/>
        <v>20</v>
      </c>
      <c r="Q122" s="155">
        <f t="shared" si="366"/>
        <v>-10</v>
      </c>
      <c r="R122" s="153"/>
      <c r="S122" s="154">
        <f t="shared" si="375"/>
        <v>0</v>
      </c>
      <c r="T122" s="153"/>
      <c r="U122" s="154">
        <f t="shared" si="376"/>
        <v>0</v>
      </c>
      <c r="V122" s="155">
        <f t="shared" si="377"/>
        <v>0</v>
      </c>
      <c r="W122" s="156">
        <f t="shared" si="378"/>
        <v>0</v>
      </c>
    </row>
    <row r="123" spans="1:23" ht="10.5" hidden="1" customHeight="1" x14ac:dyDescent="0.2">
      <c r="A123" s="11"/>
      <c r="B123" s="150">
        <f>COUNTA(Spieltag!K110:AA110)</f>
        <v>0</v>
      </c>
      <c r="C123" s="166">
        <f>Spieltag!A110</f>
        <v>31</v>
      </c>
      <c r="D123" s="21" t="str">
        <f>Spieltag!B110</f>
        <v>Robin Knoche</v>
      </c>
      <c r="E123" s="151" t="str">
        <f>Spieltag!C110</f>
        <v>Abwehr</v>
      </c>
      <c r="F123" s="152" t="s">
        <v>178</v>
      </c>
      <c r="G123" s="153"/>
      <c r="H123" s="154">
        <f t="shared" ref="H123" si="395">IF(G123="x",10,0)</f>
        <v>0</v>
      </c>
      <c r="I123" s="153"/>
      <c r="J123" s="154">
        <f t="shared" ref="J123" si="396">IF((I123="x"),-10,0)</f>
        <v>0</v>
      </c>
      <c r="K123" s="153"/>
      <c r="L123" s="154">
        <f t="shared" ref="L123" si="397">IF((K123="x"),-20,0)</f>
        <v>0</v>
      </c>
      <c r="M123" s="153"/>
      <c r="N123" s="154">
        <f t="shared" ref="N123" si="398">IF((M123="x"),-30,0)</f>
        <v>0</v>
      </c>
      <c r="O123" s="155">
        <f t="shared" si="343"/>
        <v>20</v>
      </c>
      <c r="P123" s="155">
        <f t="shared" si="344"/>
        <v>20</v>
      </c>
      <c r="Q123" s="155">
        <f t="shared" si="366"/>
        <v>-10</v>
      </c>
      <c r="R123" s="153"/>
      <c r="S123" s="154">
        <f t="shared" ref="S123" si="399">R123*15</f>
        <v>0</v>
      </c>
      <c r="T123" s="153"/>
      <c r="U123" s="154">
        <f t="shared" ref="U123" si="400">T123*-15</f>
        <v>0</v>
      </c>
      <c r="V123" s="155">
        <f t="shared" ref="V123" si="401">IF(AND(R123=2),10,IF(R123=3,30,IF(R123=4,50,IF(R123=5,70,0))))</f>
        <v>0</v>
      </c>
      <c r="W123" s="156">
        <f t="shared" ref="W123" si="402">IF(G123="x",H123+J123+L123+N123+O123+P123+Q123+S123+U123+V123,0)</f>
        <v>0</v>
      </c>
    </row>
    <row r="124" spans="1:23" ht="10.5" hidden="1" customHeight="1" x14ac:dyDescent="0.2">
      <c r="A124" s="11"/>
      <c r="B124" s="150">
        <f>COUNTA(Spieltag!K111:AA111)</f>
        <v>0</v>
      </c>
      <c r="C124" s="166">
        <f>Spieltag!A111</f>
        <v>41</v>
      </c>
      <c r="D124" s="21" t="str">
        <f>Spieltag!B111</f>
        <v>Oluwaseun Ogdemudia</v>
      </c>
      <c r="E124" s="151" t="str">
        <f>Spieltag!C111</f>
        <v>Abwehr</v>
      </c>
      <c r="F124" s="152" t="s">
        <v>178</v>
      </c>
      <c r="G124" s="153"/>
      <c r="H124" s="154">
        <f t="shared" si="371"/>
        <v>0</v>
      </c>
      <c r="I124" s="153"/>
      <c r="J124" s="154">
        <f t="shared" si="372"/>
        <v>0</v>
      </c>
      <c r="K124" s="153"/>
      <c r="L124" s="154">
        <f t="shared" si="373"/>
        <v>0</v>
      </c>
      <c r="M124" s="153"/>
      <c r="N124" s="154">
        <f t="shared" si="374"/>
        <v>0</v>
      </c>
      <c r="O124" s="155">
        <f t="shared" si="343"/>
        <v>20</v>
      </c>
      <c r="P124" s="155">
        <f t="shared" si="344"/>
        <v>20</v>
      </c>
      <c r="Q124" s="155">
        <f t="shared" si="366"/>
        <v>-10</v>
      </c>
      <c r="R124" s="153"/>
      <c r="S124" s="154">
        <f t="shared" si="375"/>
        <v>0</v>
      </c>
      <c r="T124" s="153"/>
      <c r="U124" s="154">
        <f t="shared" si="376"/>
        <v>0</v>
      </c>
      <c r="V124" s="155">
        <f t="shared" si="377"/>
        <v>0</v>
      </c>
      <c r="W124" s="156">
        <f t="shared" si="378"/>
        <v>0</v>
      </c>
    </row>
    <row r="125" spans="1:23" ht="10.5" hidden="1" customHeight="1" x14ac:dyDescent="0.2">
      <c r="A125" s="11"/>
      <c r="B125" s="150">
        <f>COUNTA(Spieltag!K112:AA112)</f>
        <v>0</v>
      </c>
      <c r="C125" s="166">
        <f>Spieltag!A112</f>
        <v>7</v>
      </c>
      <c r="D125" s="21" t="str">
        <f>Spieltag!B112</f>
        <v>Brendon Aaronson (A)</v>
      </c>
      <c r="E125" s="151" t="str">
        <f>Spieltag!C112</f>
        <v>Mittelfeld</v>
      </c>
      <c r="F125" s="152" t="s">
        <v>178</v>
      </c>
      <c r="G125" s="153"/>
      <c r="H125" s="154">
        <f t="shared" ref="H125" si="403">IF(G125="x",10,0)</f>
        <v>0</v>
      </c>
      <c r="I125" s="153"/>
      <c r="J125" s="154">
        <f t="shared" ref="J125" si="404">IF((I125="x"),-10,0)</f>
        <v>0</v>
      </c>
      <c r="K125" s="153"/>
      <c r="L125" s="154">
        <f t="shared" ref="L125" si="405">IF((K125="x"),-20,0)</f>
        <v>0</v>
      </c>
      <c r="M125" s="153"/>
      <c r="N125" s="154">
        <f t="shared" ref="N125" si="406">IF((M125="x"),-30,0)</f>
        <v>0</v>
      </c>
      <c r="O125" s="155">
        <f t="shared" si="343"/>
        <v>20</v>
      </c>
      <c r="P125" s="155">
        <f t="shared" si="344"/>
        <v>20</v>
      </c>
      <c r="Q125" s="155">
        <f t="shared" ref="Q125:Q131" si="407">IF(($W$4&lt;&gt;0),$W$4*-10,10)</f>
        <v>-10</v>
      </c>
      <c r="R125" s="153"/>
      <c r="S125" s="154">
        <f t="shared" ref="S125" si="408">R125*10</f>
        <v>0</v>
      </c>
      <c r="T125" s="153"/>
      <c r="U125" s="154">
        <f t="shared" ref="U125" si="409">T125*-15</f>
        <v>0</v>
      </c>
      <c r="V125" s="155">
        <f t="shared" ref="V125" si="410">IF(AND(R125=2),10,IF(R125=3,30,IF(R125=4,50,IF(R125=5,70,0))))</f>
        <v>0</v>
      </c>
      <c r="W125" s="156">
        <f t="shared" ref="W125" si="411">IF(G125="x",H125+J125+L125+N125+O125+P125+Q125+S125+U125+V125,0)</f>
        <v>0</v>
      </c>
    </row>
    <row r="126" spans="1:23" ht="10.5" hidden="1" customHeight="1" x14ac:dyDescent="0.2">
      <c r="A126" s="11"/>
      <c r="B126" s="150">
        <f>COUNTA(Spieltag!K113:AA113)</f>
        <v>0</v>
      </c>
      <c r="C126" s="166">
        <f>Spieltag!A113</f>
        <v>8</v>
      </c>
      <c r="D126" s="21" t="str">
        <f>Spieltag!B113</f>
        <v>Rani Khedira</v>
      </c>
      <c r="E126" s="151" t="str">
        <f>Spieltag!C113</f>
        <v>Mittelfeld</v>
      </c>
      <c r="F126" s="152" t="s">
        <v>178</v>
      </c>
      <c r="G126" s="153"/>
      <c r="H126" s="154">
        <f t="shared" ref="H126:H131" si="412">IF(G126="x",10,0)</f>
        <v>0</v>
      </c>
      <c r="I126" s="153"/>
      <c r="J126" s="154">
        <f t="shared" ref="J126:J131" si="413">IF((I126="x"),-10,0)</f>
        <v>0</v>
      </c>
      <c r="K126" s="153"/>
      <c r="L126" s="154">
        <f t="shared" ref="L126:L131" si="414">IF((K126="x"),-20,0)</f>
        <v>0</v>
      </c>
      <c r="M126" s="153"/>
      <c r="N126" s="154">
        <f t="shared" ref="N126:N131" si="415">IF((M126="x"),-30,0)</f>
        <v>0</v>
      </c>
      <c r="O126" s="155">
        <f t="shared" si="343"/>
        <v>20</v>
      </c>
      <c r="P126" s="155">
        <f t="shared" si="344"/>
        <v>20</v>
      </c>
      <c r="Q126" s="155">
        <f t="shared" si="407"/>
        <v>-10</v>
      </c>
      <c r="R126" s="153"/>
      <c r="S126" s="154">
        <f t="shared" ref="S126:S131" si="416">R126*10</f>
        <v>0</v>
      </c>
      <c r="T126" s="153"/>
      <c r="U126" s="154">
        <f t="shared" ref="U126:U131" si="417">T126*-15</f>
        <v>0</v>
      </c>
      <c r="V126" s="155">
        <f t="shared" ref="V126:V131" si="418">IF(AND(R126=2),10,IF(R126=3,30,IF(R126=4,50,IF(R126=5,70,0))))</f>
        <v>0</v>
      </c>
      <c r="W126" s="156">
        <f t="shared" ref="W126:W131" si="419">IF(G126="x",H126+J126+L126+N126+O126+P126+Q126+S126+U126+V126,0)</f>
        <v>0</v>
      </c>
    </row>
    <row r="127" spans="1:23" ht="10.5" hidden="1" customHeight="1" x14ac:dyDescent="0.2">
      <c r="A127" s="11"/>
      <c r="B127" s="150">
        <f>COUNTA(Spieltag!K114:AA114)</f>
        <v>0</v>
      </c>
      <c r="C127" s="166">
        <f>Spieltag!A114</f>
        <v>13</v>
      </c>
      <c r="D127" s="21" t="str">
        <f>Spieltag!B114</f>
        <v>András Schäfer (A)</v>
      </c>
      <c r="E127" s="151" t="str">
        <f>Spieltag!C114</f>
        <v>Mittelfeld</v>
      </c>
      <c r="F127" s="152" t="s">
        <v>178</v>
      </c>
      <c r="G127" s="153"/>
      <c r="H127" s="154">
        <f t="shared" si="412"/>
        <v>0</v>
      </c>
      <c r="I127" s="153"/>
      <c r="J127" s="154">
        <f t="shared" si="413"/>
        <v>0</v>
      </c>
      <c r="K127" s="153"/>
      <c r="L127" s="154">
        <f t="shared" si="414"/>
        <v>0</v>
      </c>
      <c r="M127" s="153"/>
      <c r="N127" s="154">
        <f t="shared" si="415"/>
        <v>0</v>
      </c>
      <c r="O127" s="155">
        <f t="shared" si="343"/>
        <v>20</v>
      </c>
      <c r="P127" s="155">
        <f t="shared" si="344"/>
        <v>20</v>
      </c>
      <c r="Q127" s="155">
        <f t="shared" si="407"/>
        <v>-10</v>
      </c>
      <c r="R127" s="153"/>
      <c r="S127" s="154">
        <f t="shared" si="416"/>
        <v>0</v>
      </c>
      <c r="T127" s="153"/>
      <c r="U127" s="154">
        <f t="shared" si="417"/>
        <v>0</v>
      </c>
      <c r="V127" s="155">
        <f t="shared" si="418"/>
        <v>0</v>
      </c>
      <c r="W127" s="156">
        <f t="shared" si="419"/>
        <v>0</v>
      </c>
    </row>
    <row r="128" spans="1:23" ht="10.5" hidden="1" customHeight="1" x14ac:dyDescent="0.2">
      <c r="A128" s="11"/>
      <c r="B128" s="150">
        <f>COUNTA(Spieltag!K115:AA115)</f>
        <v>0</v>
      </c>
      <c r="C128" s="166">
        <f>Spieltag!A115</f>
        <v>19</v>
      </c>
      <c r="D128" s="21" t="str">
        <f>Spieltag!B115</f>
        <v>Janik Haberer</v>
      </c>
      <c r="E128" s="151" t="str">
        <f>Spieltag!C115</f>
        <v>Mittelfeld</v>
      </c>
      <c r="F128" s="152" t="s">
        <v>178</v>
      </c>
      <c r="G128" s="153"/>
      <c r="H128" s="154">
        <f t="shared" si="412"/>
        <v>0</v>
      </c>
      <c r="I128" s="153"/>
      <c r="J128" s="154">
        <f t="shared" si="413"/>
        <v>0</v>
      </c>
      <c r="K128" s="153"/>
      <c r="L128" s="154">
        <f t="shared" si="414"/>
        <v>0</v>
      </c>
      <c r="M128" s="153"/>
      <c r="N128" s="154">
        <f t="shared" si="415"/>
        <v>0</v>
      </c>
      <c r="O128" s="155">
        <f t="shared" si="343"/>
        <v>20</v>
      </c>
      <c r="P128" s="155">
        <f t="shared" si="344"/>
        <v>20</v>
      </c>
      <c r="Q128" s="155">
        <f t="shared" si="407"/>
        <v>-10</v>
      </c>
      <c r="R128" s="153"/>
      <c r="S128" s="154">
        <f t="shared" si="416"/>
        <v>0</v>
      </c>
      <c r="T128" s="153"/>
      <c r="U128" s="154">
        <f t="shared" si="417"/>
        <v>0</v>
      </c>
      <c r="V128" s="155">
        <f t="shared" si="418"/>
        <v>0</v>
      </c>
      <c r="W128" s="156">
        <f t="shared" si="419"/>
        <v>0</v>
      </c>
    </row>
    <row r="129" spans="1:23" ht="10.5" hidden="1" customHeight="1" x14ac:dyDescent="0.2">
      <c r="A129" s="11"/>
      <c r="B129" s="150">
        <f>COUNTA(Spieltag!K116:AA116)</f>
        <v>0</v>
      </c>
      <c r="C129" s="166">
        <f>Spieltag!A116</f>
        <v>20</v>
      </c>
      <c r="D129" s="21" t="str">
        <f>Spieltag!B116</f>
        <v>Aissa Laidouni (A)</v>
      </c>
      <c r="E129" s="151" t="str">
        <f>Spieltag!C116</f>
        <v>Mittelfeld</v>
      </c>
      <c r="F129" s="152" t="s">
        <v>178</v>
      </c>
      <c r="G129" s="153"/>
      <c r="H129" s="154">
        <f t="shared" si="412"/>
        <v>0</v>
      </c>
      <c r="I129" s="153"/>
      <c r="J129" s="154">
        <f t="shared" si="413"/>
        <v>0</v>
      </c>
      <c r="K129" s="153"/>
      <c r="L129" s="154">
        <f t="shared" si="414"/>
        <v>0</v>
      </c>
      <c r="M129" s="153"/>
      <c r="N129" s="154">
        <f t="shared" si="415"/>
        <v>0</v>
      </c>
      <c r="O129" s="155">
        <f t="shared" si="343"/>
        <v>20</v>
      </c>
      <c r="P129" s="155">
        <f t="shared" si="344"/>
        <v>20</v>
      </c>
      <c r="Q129" s="155">
        <f t="shared" si="407"/>
        <v>-10</v>
      </c>
      <c r="R129" s="153"/>
      <c r="S129" s="154">
        <f t="shared" si="416"/>
        <v>0</v>
      </c>
      <c r="T129" s="153"/>
      <c r="U129" s="154">
        <f t="shared" si="417"/>
        <v>0</v>
      </c>
      <c r="V129" s="155">
        <f t="shared" si="418"/>
        <v>0</v>
      </c>
      <c r="W129" s="156">
        <f t="shared" si="419"/>
        <v>0</v>
      </c>
    </row>
    <row r="130" spans="1:23" ht="10.5" hidden="1" customHeight="1" x14ac:dyDescent="0.2">
      <c r="A130" s="11"/>
      <c r="B130" s="150">
        <f>COUNTA(Spieltag!K117:AA117)</f>
        <v>0</v>
      </c>
      <c r="C130" s="166">
        <f>Spieltag!A117</f>
        <v>29</v>
      </c>
      <c r="D130" s="21" t="str">
        <f>Spieltag!B117</f>
        <v>Lucas Tousart (A)</v>
      </c>
      <c r="E130" s="151" t="str">
        <f>Spieltag!C117</f>
        <v>Mittelfeld</v>
      </c>
      <c r="F130" s="152" t="s">
        <v>178</v>
      </c>
      <c r="G130" s="153"/>
      <c r="H130" s="154">
        <f t="shared" si="412"/>
        <v>0</v>
      </c>
      <c r="I130" s="153"/>
      <c r="J130" s="154">
        <f t="shared" si="413"/>
        <v>0</v>
      </c>
      <c r="K130" s="153"/>
      <c r="L130" s="154">
        <f t="shared" si="414"/>
        <v>0</v>
      </c>
      <c r="M130" s="153"/>
      <c r="N130" s="154">
        <f t="shared" si="415"/>
        <v>0</v>
      </c>
      <c r="O130" s="155">
        <f t="shared" si="343"/>
        <v>20</v>
      </c>
      <c r="P130" s="155">
        <f t="shared" si="344"/>
        <v>20</v>
      </c>
      <c r="Q130" s="155">
        <f t="shared" si="407"/>
        <v>-10</v>
      </c>
      <c r="R130" s="153"/>
      <c r="S130" s="154">
        <f t="shared" si="416"/>
        <v>0</v>
      </c>
      <c r="T130" s="153"/>
      <c r="U130" s="154">
        <f t="shared" si="417"/>
        <v>0</v>
      </c>
      <c r="V130" s="155">
        <f t="shared" si="418"/>
        <v>0</v>
      </c>
      <c r="W130" s="156">
        <f t="shared" si="419"/>
        <v>0</v>
      </c>
    </row>
    <row r="131" spans="1:23" ht="10.5" hidden="1" customHeight="1" x14ac:dyDescent="0.2">
      <c r="A131" s="11"/>
      <c r="B131" s="150">
        <f>COUNTA(Spieltag!K118:AA118)</f>
        <v>0</v>
      </c>
      <c r="C131" s="166">
        <f>Spieltag!A118</f>
        <v>33</v>
      </c>
      <c r="D131" s="21" t="str">
        <f>Spieltag!B118</f>
        <v>Alex Král (A)</v>
      </c>
      <c r="E131" s="151" t="str">
        <f>Spieltag!C118</f>
        <v>Mittelfeld</v>
      </c>
      <c r="F131" s="152" t="s">
        <v>178</v>
      </c>
      <c r="G131" s="153"/>
      <c r="H131" s="154">
        <f t="shared" si="412"/>
        <v>0</v>
      </c>
      <c r="I131" s="153"/>
      <c r="J131" s="154">
        <f t="shared" si="413"/>
        <v>0</v>
      </c>
      <c r="K131" s="153"/>
      <c r="L131" s="154">
        <f t="shared" si="414"/>
        <v>0</v>
      </c>
      <c r="M131" s="153"/>
      <c r="N131" s="154">
        <f t="shared" si="415"/>
        <v>0</v>
      </c>
      <c r="O131" s="155">
        <f t="shared" si="343"/>
        <v>20</v>
      </c>
      <c r="P131" s="155">
        <f t="shared" si="344"/>
        <v>20</v>
      </c>
      <c r="Q131" s="155">
        <f t="shared" si="407"/>
        <v>-10</v>
      </c>
      <c r="R131" s="153"/>
      <c r="S131" s="154">
        <f t="shared" si="416"/>
        <v>0</v>
      </c>
      <c r="T131" s="153"/>
      <c r="U131" s="154">
        <f t="shared" si="417"/>
        <v>0</v>
      </c>
      <c r="V131" s="155">
        <f t="shared" si="418"/>
        <v>0</v>
      </c>
      <c r="W131" s="156">
        <f t="shared" si="419"/>
        <v>0</v>
      </c>
    </row>
    <row r="132" spans="1:23" ht="10.5" hidden="1" customHeight="1" x14ac:dyDescent="0.2">
      <c r="A132" s="11"/>
      <c r="B132" s="150">
        <f>COUNTA(Spieltag!K119:AA119)</f>
        <v>0</v>
      </c>
      <c r="C132" s="166">
        <f>Spieltag!A119</f>
        <v>9</v>
      </c>
      <c r="D132" s="21" t="str">
        <f>Spieltag!B119</f>
        <v>Mikkel Kaufmann (A)</v>
      </c>
      <c r="E132" s="151" t="str">
        <f>Spieltag!C119</f>
        <v>Sturm</v>
      </c>
      <c r="F132" s="152" t="s">
        <v>178</v>
      </c>
      <c r="G132" s="153"/>
      <c r="H132" s="154">
        <f t="shared" ref="H132:H133" si="420">IF(G132="x",10,0)</f>
        <v>0</v>
      </c>
      <c r="I132" s="153"/>
      <c r="J132" s="154">
        <f t="shared" ref="J132:J133" si="421">IF((I132="x"),-10,0)</f>
        <v>0</v>
      </c>
      <c r="K132" s="153"/>
      <c r="L132" s="154">
        <f t="shared" ref="L132:L133" si="422">IF((K132="x"),-20,0)</f>
        <v>0</v>
      </c>
      <c r="M132" s="153"/>
      <c r="N132" s="154">
        <f t="shared" ref="N132:N133" si="423">IF((M132="x"),-30,0)</f>
        <v>0</v>
      </c>
      <c r="O132" s="155">
        <f t="shared" si="343"/>
        <v>20</v>
      </c>
      <c r="P132" s="155">
        <f t="shared" si="344"/>
        <v>20</v>
      </c>
      <c r="Q132" s="155">
        <f t="shared" ref="Q132:Q136" si="424">IF(($W$4&lt;&gt;0),$W$4*-10,5)</f>
        <v>-10</v>
      </c>
      <c r="R132" s="153"/>
      <c r="S132" s="154">
        <f t="shared" ref="S132:S133" si="425">R132*10</f>
        <v>0</v>
      </c>
      <c r="T132" s="153"/>
      <c r="U132" s="154">
        <f t="shared" ref="U132:U133" si="426">T132*-15</f>
        <v>0</v>
      </c>
      <c r="V132" s="155">
        <f t="shared" ref="V132:V133" si="427">IF(AND(R132=2),10,IF(R132=3,30,IF(R132=4,50,IF(R132=5,70,0))))</f>
        <v>0</v>
      </c>
      <c r="W132" s="156">
        <f t="shared" ref="W132:W133" si="428">IF(G132="x",H132+J132+L132+N132+O132+P132+Q132+S132+U132+V132,0)</f>
        <v>0</v>
      </c>
    </row>
    <row r="133" spans="1:23" ht="10.5" hidden="1" customHeight="1" x14ac:dyDescent="0.2">
      <c r="A133" s="11"/>
      <c r="B133" s="150">
        <f>COUNTA(Spieltag!K120:AA120)</f>
        <v>0</v>
      </c>
      <c r="C133" s="166">
        <f>Spieltag!A120</f>
        <v>10</v>
      </c>
      <c r="D133" s="21" t="str">
        <f>Spieltag!B120</f>
        <v>Kevin Volland</v>
      </c>
      <c r="E133" s="151" t="str">
        <f>Spieltag!C120</f>
        <v>Sturm</v>
      </c>
      <c r="F133" s="152" t="s">
        <v>178</v>
      </c>
      <c r="G133" s="153"/>
      <c r="H133" s="154">
        <f t="shared" si="420"/>
        <v>0</v>
      </c>
      <c r="I133" s="153"/>
      <c r="J133" s="154">
        <f t="shared" si="421"/>
        <v>0</v>
      </c>
      <c r="K133" s="153"/>
      <c r="L133" s="154">
        <f t="shared" si="422"/>
        <v>0</v>
      </c>
      <c r="M133" s="153"/>
      <c r="N133" s="154">
        <f t="shared" si="423"/>
        <v>0</v>
      </c>
      <c r="O133" s="155">
        <f t="shared" si="343"/>
        <v>20</v>
      </c>
      <c r="P133" s="155">
        <f t="shared" si="344"/>
        <v>20</v>
      </c>
      <c r="Q133" s="155">
        <f t="shared" si="424"/>
        <v>-10</v>
      </c>
      <c r="R133" s="153"/>
      <c r="S133" s="154">
        <f t="shared" si="425"/>
        <v>0</v>
      </c>
      <c r="T133" s="153"/>
      <c r="U133" s="154">
        <f t="shared" si="426"/>
        <v>0</v>
      </c>
      <c r="V133" s="155">
        <f t="shared" si="427"/>
        <v>0</v>
      </c>
      <c r="W133" s="156">
        <f t="shared" si="428"/>
        <v>0</v>
      </c>
    </row>
    <row r="134" spans="1:23" ht="10.5" hidden="1" customHeight="1" x14ac:dyDescent="0.2">
      <c r="A134" s="11"/>
      <c r="B134" s="150">
        <f>COUNTA(Spieltag!K121:AA121)</f>
        <v>0</v>
      </c>
      <c r="C134" s="166">
        <f>Spieltag!A121</f>
        <v>11</v>
      </c>
      <c r="D134" s="21" t="str">
        <f>Spieltag!B121</f>
        <v>Chris Bedia (A)</v>
      </c>
      <c r="E134" s="151" t="str">
        <f>Spieltag!C121</f>
        <v>Sturm</v>
      </c>
      <c r="F134" s="152" t="s">
        <v>178</v>
      </c>
      <c r="G134" s="153"/>
      <c r="H134" s="154">
        <f t="shared" ref="H134:H136" si="429">IF(G134="x",10,0)</f>
        <v>0</v>
      </c>
      <c r="I134" s="153"/>
      <c r="J134" s="154">
        <f t="shared" ref="J134:J136" si="430">IF((I134="x"),-10,0)</f>
        <v>0</v>
      </c>
      <c r="K134" s="153"/>
      <c r="L134" s="154">
        <f t="shared" ref="L134:L136" si="431">IF((K134="x"),-20,0)</f>
        <v>0</v>
      </c>
      <c r="M134" s="153"/>
      <c r="N134" s="154">
        <f t="shared" ref="N134:N136" si="432">IF((M134="x"),-30,0)</f>
        <v>0</v>
      </c>
      <c r="O134" s="155">
        <f t="shared" si="343"/>
        <v>20</v>
      </c>
      <c r="P134" s="155">
        <f t="shared" si="344"/>
        <v>20</v>
      </c>
      <c r="Q134" s="155">
        <f t="shared" si="424"/>
        <v>-10</v>
      </c>
      <c r="R134" s="153"/>
      <c r="S134" s="154">
        <f t="shared" ref="S134:S136" si="433">R134*10</f>
        <v>0</v>
      </c>
      <c r="T134" s="153"/>
      <c r="U134" s="154">
        <f t="shared" ref="U134:U136" si="434">T134*-15</f>
        <v>0</v>
      </c>
      <c r="V134" s="155">
        <f t="shared" ref="V134:V136" si="435">IF(AND(R134=2),10,IF(R134=3,30,IF(R134=4,50,IF(R134=5,70,0))))</f>
        <v>0</v>
      </c>
      <c r="W134" s="156">
        <f t="shared" ref="W134:W136" si="436">IF(G134="x",H134+J134+L134+N134+O134+P134+Q134+S134+U134+V134,0)</f>
        <v>0</v>
      </c>
    </row>
    <row r="135" spans="1:23" ht="10.5" hidden="1" customHeight="1" x14ac:dyDescent="0.2">
      <c r="A135" s="11"/>
      <c r="B135" s="150">
        <f>COUNTA(Spieltag!K122:AA122)</f>
        <v>0</v>
      </c>
      <c r="C135" s="166">
        <f>Spieltag!A122</f>
        <v>14</v>
      </c>
      <c r="D135" s="21" t="str">
        <f>Spieltag!B122</f>
        <v>Yorbe Vertessen (A)</v>
      </c>
      <c r="E135" s="151" t="str">
        <f>Spieltag!C122</f>
        <v>Sturm</v>
      </c>
      <c r="F135" s="152" t="s">
        <v>178</v>
      </c>
      <c r="G135" s="153"/>
      <c r="H135" s="154">
        <f t="shared" si="429"/>
        <v>0</v>
      </c>
      <c r="I135" s="153"/>
      <c r="J135" s="154">
        <f t="shared" si="430"/>
        <v>0</v>
      </c>
      <c r="K135" s="153"/>
      <c r="L135" s="154">
        <f t="shared" si="431"/>
        <v>0</v>
      </c>
      <c r="M135" s="153"/>
      <c r="N135" s="154">
        <f t="shared" si="432"/>
        <v>0</v>
      </c>
      <c r="O135" s="155">
        <f t="shared" si="343"/>
        <v>20</v>
      </c>
      <c r="P135" s="155">
        <f t="shared" si="344"/>
        <v>20</v>
      </c>
      <c r="Q135" s="155">
        <f t="shared" si="424"/>
        <v>-10</v>
      </c>
      <c r="R135" s="153"/>
      <c r="S135" s="154">
        <f t="shared" si="433"/>
        <v>0</v>
      </c>
      <c r="T135" s="153"/>
      <c r="U135" s="154">
        <f t="shared" si="434"/>
        <v>0</v>
      </c>
      <c r="V135" s="155">
        <f t="shared" si="435"/>
        <v>0</v>
      </c>
      <c r="W135" s="156">
        <f t="shared" si="436"/>
        <v>0</v>
      </c>
    </row>
    <row r="136" spans="1:23" ht="10.5" hidden="1" customHeight="1" x14ac:dyDescent="0.2">
      <c r="A136" s="11"/>
      <c r="B136" s="150">
        <f>COUNTA(Spieltag!K123:AA123)</f>
        <v>0</v>
      </c>
      <c r="C136" s="166">
        <f>Spieltag!A123</f>
        <v>16</v>
      </c>
      <c r="D136" s="21" t="str">
        <f>Spieltag!B123</f>
        <v>Benedict Hollerbach</v>
      </c>
      <c r="E136" s="151" t="str">
        <f>Spieltag!C123</f>
        <v>Sturm</v>
      </c>
      <c r="F136" s="152" t="s">
        <v>178</v>
      </c>
      <c r="G136" s="153"/>
      <c r="H136" s="154">
        <f t="shared" si="429"/>
        <v>0</v>
      </c>
      <c r="I136" s="153"/>
      <c r="J136" s="154">
        <f t="shared" si="430"/>
        <v>0</v>
      </c>
      <c r="K136" s="153"/>
      <c r="L136" s="154">
        <f t="shared" si="431"/>
        <v>0</v>
      </c>
      <c r="M136" s="153"/>
      <c r="N136" s="154">
        <f t="shared" si="432"/>
        <v>0</v>
      </c>
      <c r="O136" s="155">
        <f t="shared" si="343"/>
        <v>20</v>
      </c>
      <c r="P136" s="155">
        <f t="shared" si="344"/>
        <v>20</v>
      </c>
      <c r="Q136" s="155">
        <f t="shared" si="424"/>
        <v>-10</v>
      </c>
      <c r="R136" s="153"/>
      <c r="S136" s="154">
        <f t="shared" si="433"/>
        <v>0</v>
      </c>
      <c r="T136" s="153"/>
      <c r="U136" s="154">
        <f t="shared" si="434"/>
        <v>0</v>
      </c>
      <c r="V136" s="155">
        <f t="shared" si="435"/>
        <v>0</v>
      </c>
      <c r="W136" s="156">
        <f t="shared" si="436"/>
        <v>0</v>
      </c>
    </row>
    <row r="137" spans="1:23" s="144" customFormat="1" ht="17.25" thickBot="1" x14ac:dyDescent="0.25">
      <c r="A137" s="142"/>
      <c r="B137" s="143">
        <f>SUM(B138:B170)</f>
        <v>7</v>
      </c>
      <c r="C137" s="158"/>
      <c r="D137" s="221" t="s">
        <v>129</v>
      </c>
      <c r="E137" s="221"/>
      <c r="F137" s="221"/>
      <c r="G137" s="221"/>
      <c r="H137" s="221"/>
      <c r="I137" s="221"/>
      <c r="J137" s="221"/>
      <c r="K137" s="221"/>
      <c r="L137" s="221"/>
      <c r="M137" s="221"/>
      <c r="N137" s="221"/>
      <c r="O137" s="221"/>
      <c r="P137" s="221"/>
      <c r="Q137" s="221"/>
      <c r="R137" s="221"/>
      <c r="S137" s="221"/>
      <c r="T137" s="221"/>
      <c r="U137" s="221"/>
      <c r="V137" s="221"/>
      <c r="W137" s="222"/>
    </row>
    <row r="138" spans="1:23" ht="10.5" customHeight="1" x14ac:dyDescent="0.2">
      <c r="A138" s="11"/>
      <c r="B138" s="150">
        <f>COUNTA(Spieltag!K125:AA125)</f>
        <v>1</v>
      </c>
      <c r="C138" s="166">
        <f>Spieltag!A125</f>
        <v>1</v>
      </c>
      <c r="D138" s="21" t="str">
        <f>Spieltag!B125</f>
        <v>Noah Atubolu</v>
      </c>
      <c r="E138" s="151" t="str">
        <f>Spieltag!C125</f>
        <v>Torwart</v>
      </c>
      <c r="F138" s="152" t="s">
        <v>87</v>
      </c>
      <c r="G138" s="153" t="s">
        <v>676</v>
      </c>
      <c r="H138" s="154">
        <f t="shared" ref="H138" si="437">IF(G138="x",10,0)</f>
        <v>10</v>
      </c>
      <c r="I138" s="153"/>
      <c r="J138" s="154">
        <f t="shared" ref="J138" si="438">IF((I138="x"),-10,0)</f>
        <v>0</v>
      </c>
      <c r="K138" s="153"/>
      <c r="L138" s="154">
        <f t="shared" ref="L138" si="439">IF((K138="x"),-20,0)</f>
        <v>0</v>
      </c>
      <c r="M138" s="153"/>
      <c r="N138" s="154">
        <f t="shared" ref="N138" si="440">IF((M138="x"),-30,0)</f>
        <v>0</v>
      </c>
      <c r="O138" s="155">
        <f>IF(AND($V$8&gt;$W$8),20,IF($V$8=$W$8,10,0))</f>
        <v>0</v>
      </c>
      <c r="P138" s="155">
        <f>IF(($V$8&lt;&gt;0),$V$8*10,-5)</f>
        <v>10</v>
      </c>
      <c r="Q138" s="155">
        <f>IF(($W$8&lt;&gt;0),$W$8*-10,20)</f>
        <v>-20</v>
      </c>
      <c r="R138" s="153"/>
      <c r="S138" s="154">
        <f>R138*20</f>
        <v>0</v>
      </c>
      <c r="T138" s="153"/>
      <c r="U138" s="154">
        <f t="shared" ref="U138" si="441">T138*-15</f>
        <v>0</v>
      </c>
      <c r="V138" s="155">
        <f t="shared" ref="V138" si="442">IF(AND(R138=2),10,IF(R138=3,30,IF(R138=4,50,IF(R138=5,70,0))))</f>
        <v>0</v>
      </c>
      <c r="W138" s="156">
        <f t="shared" ref="W138" si="443">IF(G138="x",H138+J138+L138+N138+O138+P138+Q138+S138+U138+V138,0)</f>
        <v>0</v>
      </c>
    </row>
    <row r="139" spans="1:23" ht="10.5" hidden="1" customHeight="1" x14ac:dyDescent="0.2">
      <c r="A139" s="11"/>
      <c r="B139" s="150">
        <f>COUNTA(Spieltag!K126:AA126)</f>
        <v>0</v>
      </c>
      <c r="C139" s="166">
        <f>Spieltag!A126</f>
        <v>21</v>
      </c>
      <c r="D139" s="21" t="str">
        <f>Spieltag!B126</f>
        <v>Florian Müller</v>
      </c>
      <c r="E139" s="151" t="str">
        <f>Spieltag!C126</f>
        <v>Torwart</v>
      </c>
      <c r="F139" s="152" t="s">
        <v>87</v>
      </c>
      <c r="G139" s="153"/>
      <c r="H139" s="154">
        <f t="shared" ref="H139:H142" si="444">IF(G139="x",10,0)</f>
        <v>0</v>
      </c>
      <c r="I139" s="153"/>
      <c r="J139" s="154">
        <f t="shared" ref="J139:J142" si="445">IF((I139="x"),-10,0)</f>
        <v>0</v>
      </c>
      <c r="K139" s="153"/>
      <c r="L139" s="154">
        <f t="shared" ref="L139:L142" si="446">IF((K139="x"),-20,0)</f>
        <v>0</v>
      </c>
      <c r="M139" s="153"/>
      <c r="N139" s="154">
        <f t="shared" ref="N139:N142" si="447">IF((M139="x"),-30,0)</f>
        <v>0</v>
      </c>
      <c r="O139" s="155">
        <f t="shared" ref="O139:O142" si="448">IF(AND($V$8&gt;$W$8),20,IF($V$8=$W$8,10,0))</f>
        <v>0</v>
      </c>
      <c r="P139" s="155">
        <f t="shared" ref="P139:P142" si="449">IF(($V$8&lt;&gt;0),$V$8*10,-5)</f>
        <v>10</v>
      </c>
      <c r="Q139" s="155">
        <f t="shared" ref="Q139:Q142" si="450">IF(($W$8&lt;&gt;0),$W$8*-10,20)</f>
        <v>-20</v>
      </c>
      <c r="R139" s="153"/>
      <c r="S139" s="154">
        <f t="shared" ref="S139:S142" si="451">R139*20</f>
        <v>0</v>
      </c>
      <c r="T139" s="153"/>
      <c r="U139" s="154">
        <f t="shared" ref="U139:U142" si="452">T139*-15</f>
        <v>0</v>
      </c>
      <c r="V139" s="155">
        <f t="shared" ref="V139:V142" si="453">IF(AND(R139=2),10,IF(R139=3,30,IF(R139=4,50,IF(R139=5,70,0))))</f>
        <v>0</v>
      </c>
      <c r="W139" s="156">
        <f t="shared" ref="W139:W142" si="454">IF(G139="x",H139+J139+L139+N139+O139+P139+Q139+S139+U139+V139,0)</f>
        <v>0</v>
      </c>
    </row>
    <row r="140" spans="1:23" ht="10.5" hidden="1" customHeight="1" x14ac:dyDescent="0.2">
      <c r="A140" s="11"/>
      <c r="B140" s="150">
        <f>COUNTA(Spieltag!K127:AA127)</f>
        <v>0</v>
      </c>
      <c r="C140" s="166">
        <f>Spieltag!A127</f>
        <v>31</v>
      </c>
      <c r="D140" s="21" t="str">
        <f>Spieltag!B127</f>
        <v>Benjamin Uphoff</v>
      </c>
      <c r="E140" s="151" t="str">
        <f>Spieltag!C127</f>
        <v>Torwart</v>
      </c>
      <c r="F140" s="152" t="s">
        <v>87</v>
      </c>
      <c r="G140" s="153"/>
      <c r="H140" s="154">
        <f t="shared" si="444"/>
        <v>0</v>
      </c>
      <c r="I140" s="153"/>
      <c r="J140" s="154">
        <f t="shared" si="445"/>
        <v>0</v>
      </c>
      <c r="K140" s="153"/>
      <c r="L140" s="154">
        <f t="shared" si="446"/>
        <v>0</v>
      </c>
      <c r="M140" s="153"/>
      <c r="N140" s="154">
        <f t="shared" si="447"/>
        <v>0</v>
      </c>
      <c r="O140" s="155">
        <f t="shared" si="448"/>
        <v>0</v>
      </c>
      <c r="P140" s="155">
        <f t="shared" si="449"/>
        <v>10</v>
      </c>
      <c r="Q140" s="155">
        <f t="shared" si="450"/>
        <v>-20</v>
      </c>
      <c r="R140" s="153"/>
      <c r="S140" s="154">
        <f t="shared" si="451"/>
        <v>0</v>
      </c>
      <c r="T140" s="153"/>
      <c r="U140" s="154">
        <f t="shared" si="452"/>
        <v>0</v>
      </c>
      <c r="V140" s="155">
        <f t="shared" si="453"/>
        <v>0</v>
      </c>
      <c r="W140" s="156">
        <f t="shared" si="454"/>
        <v>0</v>
      </c>
    </row>
    <row r="141" spans="1:23" ht="10.5" hidden="1" customHeight="1" x14ac:dyDescent="0.2">
      <c r="A141" s="11"/>
      <c r="B141" s="150">
        <f>COUNTA(Spieltag!K128:AA128)</f>
        <v>0</v>
      </c>
      <c r="C141" s="166">
        <f>Spieltag!A128</f>
        <v>58</v>
      </c>
      <c r="D141" s="21" t="str">
        <f>Spieltag!B128</f>
        <v>Niklas Sauter</v>
      </c>
      <c r="E141" s="151" t="str">
        <f>Spieltag!C128</f>
        <v>Torwart</v>
      </c>
      <c r="F141" s="152" t="s">
        <v>87</v>
      </c>
      <c r="G141" s="153"/>
      <c r="H141" s="154">
        <f t="shared" ref="H141" si="455">IF(G141="x",10,0)</f>
        <v>0</v>
      </c>
      <c r="I141" s="153"/>
      <c r="J141" s="154">
        <f t="shared" ref="J141" si="456">IF((I141="x"),-10,0)</f>
        <v>0</v>
      </c>
      <c r="K141" s="153"/>
      <c r="L141" s="154">
        <f t="shared" ref="L141" si="457">IF((K141="x"),-20,0)</f>
        <v>0</v>
      </c>
      <c r="M141" s="153"/>
      <c r="N141" s="154">
        <f t="shared" ref="N141" si="458">IF((M141="x"),-30,0)</f>
        <v>0</v>
      </c>
      <c r="O141" s="155">
        <f t="shared" si="448"/>
        <v>0</v>
      </c>
      <c r="P141" s="155">
        <f t="shared" si="449"/>
        <v>10</v>
      </c>
      <c r="Q141" s="155">
        <f t="shared" si="450"/>
        <v>-20</v>
      </c>
      <c r="R141" s="153"/>
      <c r="S141" s="154">
        <f t="shared" ref="S141" si="459">R141*20</f>
        <v>0</v>
      </c>
      <c r="T141" s="153"/>
      <c r="U141" s="154">
        <f t="shared" ref="U141" si="460">T141*-15</f>
        <v>0</v>
      </c>
      <c r="V141" s="155">
        <f t="shared" ref="V141" si="461">IF(AND(R141=2),10,IF(R141=3,30,IF(R141=4,50,IF(R141=5,70,0))))</f>
        <v>0</v>
      </c>
      <c r="W141" s="156">
        <f t="shared" ref="W141" si="462">IF(G141="x",H141+J141+L141+N141+O141+P141+Q141+S141+U141+V141,0)</f>
        <v>0</v>
      </c>
    </row>
    <row r="142" spans="1:23" ht="10.5" hidden="1" customHeight="1" x14ac:dyDescent="0.2">
      <c r="A142" s="11"/>
      <c r="B142" s="150">
        <f>COUNTA(Spieltag!K129:AA129)</f>
        <v>0</v>
      </c>
      <c r="C142" s="166">
        <f>Spieltag!A129</f>
        <v>67</v>
      </c>
      <c r="D142" s="21" t="str">
        <f>Spieltag!B129</f>
        <v>Jaaso Jantunen (A)</v>
      </c>
      <c r="E142" s="151" t="str">
        <f>Spieltag!C129</f>
        <v>Torwart</v>
      </c>
      <c r="F142" s="152" t="s">
        <v>87</v>
      </c>
      <c r="G142" s="153"/>
      <c r="H142" s="154">
        <f t="shared" si="444"/>
        <v>0</v>
      </c>
      <c r="I142" s="153"/>
      <c r="J142" s="154">
        <f t="shared" si="445"/>
        <v>0</v>
      </c>
      <c r="K142" s="153"/>
      <c r="L142" s="154">
        <f t="shared" si="446"/>
        <v>0</v>
      </c>
      <c r="M142" s="153"/>
      <c r="N142" s="154">
        <f t="shared" si="447"/>
        <v>0</v>
      </c>
      <c r="O142" s="155">
        <f t="shared" si="448"/>
        <v>0</v>
      </c>
      <c r="P142" s="155">
        <f t="shared" si="449"/>
        <v>10</v>
      </c>
      <c r="Q142" s="155">
        <f t="shared" si="450"/>
        <v>-20</v>
      </c>
      <c r="R142" s="153"/>
      <c r="S142" s="154">
        <f t="shared" si="451"/>
        <v>0</v>
      </c>
      <c r="T142" s="153"/>
      <c r="U142" s="154">
        <f t="shared" si="452"/>
        <v>0</v>
      </c>
      <c r="V142" s="155">
        <f t="shared" si="453"/>
        <v>0</v>
      </c>
      <c r="W142" s="156">
        <f t="shared" si="454"/>
        <v>0</v>
      </c>
    </row>
    <row r="143" spans="1:23" ht="10.5" hidden="1" customHeight="1" x14ac:dyDescent="0.2">
      <c r="A143" s="11"/>
      <c r="B143" s="149">
        <f>COUNTA(Spieltag!K130:AA130)</f>
        <v>0</v>
      </c>
      <c r="C143" s="166">
        <f>Spieltag!A130</f>
        <v>3</v>
      </c>
      <c r="D143" s="21" t="str">
        <f>Spieltag!B130</f>
        <v>Philipp Lienhart (A)</v>
      </c>
      <c r="E143" s="12" t="str">
        <f>Spieltag!C130</f>
        <v>Abwehr</v>
      </c>
      <c r="F143" s="13" t="s">
        <v>87</v>
      </c>
      <c r="G143" s="14"/>
      <c r="H143" s="15">
        <f t="shared" ref="H143" si="463">IF(G143="x",10,0)</f>
        <v>0</v>
      </c>
      <c r="I143" s="14"/>
      <c r="J143" s="15">
        <f t="shared" ref="J143" si="464">IF((I143="x"),-10,0)</f>
        <v>0</v>
      </c>
      <c r="K143" s="14"/>
      <c r="L143" s="15">
        <f t="shared" ref="L143" si="465">IF((K143="x"),-20,0)</f>
        <v>0</v>
      </c>
      <c r="M143" s="14"/>
      <c r="N143" s="15">
        <f t="shared" ref="N143" si="466">IF((M143="x"),-30,0)</f>
        <v>0</v>
      </c>
      <c r="O143" s="16">
        <f t="shared" ref="O143:O170" si="467">IF(AND($V$8&gt;$W$8),20,IF($V$8=$W$8,10,0))</f>
        <v>0</v>
      </c>
      <c r="P143" s="16">
        <f t="shared" ref="P143:P170" si="468">IF(($V$8&lt;&gt;0),$V$8*10,-5)</f>
        <v>10</v>
      </c>
      <c r="Q143" s="16">
        <f t="shared" ref="Q143:Q152" si="469">IF(($W$8&lt;&gt;0),$W$8*-10,15)</f>
        <v>-20</v>
      </c>
      <c r="R143" s="14"/>
      <c r="S143" s="15">
        <f t="shared" ref="S143" si="470">R143*15</f>
        <v>0</v>
      </c>
      <c r="T143" s="14"/>
      <c r="U143" s="15">
        <f t="shared" ref="U143" si="471">T143*-15</f>
        <v>0</v>
      </c>
      <c r="V143" s="16">
        <f t="shared" ref="V143" si="472">IF(AND(R143=2),10,IF(R143=3,30,IF(R143=4,50,IF(R143=5,70,0))))</f>
        <v>0</v>
      </c>
      <c r="W143" s="17">
        <f t="shared" ref="W143" si="473">IF(G143="x",H143+J143+L143+N143+O143+P143+Q143+S143+U143+V143,0)</f>
        <v>0</v>
      </c>
    </row>
    <row r="144" spans="1:23" ht="10.5" hidden="1" customHeight="1" x14ac:dyDescent="0.2">
      <c r="A144" s="11"/>
      <c r="B144" s="149">
        <f>COUNTA(Spieltag!K131:AA131)</f>
        <v>0</v>
      </c>
      <c r="C144" s="166">
        <f>Spieltag!A131</f>
        <v>4</v>
      </c>
      <c r="D144" s="21" t="str">
        <f>Spieltag!B131</f>
        <v>Kenneth Schmidt</v>
      </c>
      <c r="E144" s="12" t="str">
        <f>Spieltag!C131</f>
        <v>Abwehr</v>
      </c>
      <c r="F144" s="13" t="s">
        <v>87</v>
      </c>
      <c r="G144" s="14"/>
      <c r="H144" s="15">
        <f t="shared" ref="H144:H145" si="474">IF(G144="x",10,0)</f>
        <v>0</v>
      </c>
      <c r="I144" s="14"/>
      <c r="J144" s="15">
        <f t="shared" ref="J144:J145" si="475">IF((I144="x"),-10,0)</f>
        <v>0</v>
      </c>
      <c r="K144" s="14"/>
      <c r="L144" s="15">
        <f t="shared" ref="L144:L145" si="476">IF((K144="x"),-20,0)</f>
        <v>0</v>
      </c>
      <c r="M144" s="14"/>
      <c r="N144" s="15">
        <f t="shared" ref="N144:N145" si="477">IF((M144="x"),-30,0)</f>
        <v>0</v>
      </c>
      <c r="O144" s="16">
        <f t="shared" si="467"/>
        <v>0</v>
      </c>
      <c r="P144" s="16">
        <f t="shared" si="468"/>
        <v>10</v>
      </c>
      <c r="Q144" s="16">
        <f t="shared" si="469"/>
        <v>-20</v>
      </c>
      <c r="R144" s="14"/>
      <c r="S144" s="15">
        <f t="shared" ref="S144:S145" si="478">R144*15</f>
        <v>0</v>
      </c>
      <c r="T144" s="14"/>
      <c r="U144" s="15">
        <f t="shared" ref="U144:U145" si="479">T144*-15</f>
        <v>0</v>
      </c>
      <c r="V144" s="16">
        <f t="shared" ref="V144:V145" si="480">IF(AND(R144=2),10,IF(R144=3,30,IF(R144=4,50,IF(R144=5,70,0))))</f>
        <v>0</v>
      </c>
      <c r="W144" s="17">
        <f t="shared" ref="W144:W145" si="481">IF(G144="x",H144+J144+L144+N144+O144+P144+Q144+S144+U144+V144,0)</f>
        <v>0</v>
      </c>
    </row>
    <row r="145" spans="1:23" ht="10.5" customHeight="1" x14ac:dyDescent="0.2">
      <c r="A145" s="11"/>
      <c r="B145" s="149">
        <f>COUNTA(Spieltag!K132:AA132)</f>
        <v>1</v>
      </c>
      <c r="C145" s="166">
        <f>Spieltag!A132</f>
        <v>5</v>
      </c>
      <c r="D145" s="21" t="str">
        <f>Spieltag!B132</f>
        <v>Manuel Gulde</v>
      </c>
      <c r="E145" s="12" t="str">
        <f>Spieltag!C132</f>
        <v>Abwehr</v>
      </c>
      <c r="F145" s="13" t="s">
        <v>87</v>
      </c>
      <c r="G145" s="14" t="s">
        <v>59</v>
      </c>
      <c r="H145" s="15">
        <f t="shared" si="474"/>
        <v>0</v>
      </c>
      <c r="I145" s="14"/>
      <c r="J145" s="15">
        <f t="shared" si="475"/>
        <v>0</v>
      </c>
      <c r="K145" s="14"/>
      <c r="L145" s="15">
        <f t="shared" si="476"/>
        <v>0</v>
      </c>
      <c r="M145" s="14"/>
      <c r="N145" s="15">
        <f t="shared" si="477"/>
        <v>0</v>
      </c>
      <c r="O145" s="16">
        <f t="shared" si="467"/>
        <v>0</v>
      </c>
      <c r="P145" s="16">
        <f t="shared" si="468"/>
        <v>10</v>
      </c>
      <c r="Q145" s="16">
        <f t="shared" si="469"/>
        <v>-20</v>
      </c>
      <c r="R145" s="14"/>
      <c r="S145" s="15">
        <f t="shared" si="478"/>
        <v>0</v>
      </c>
      <c r="T145" s="14"/>
      <c r="U145" s="15">
        <f t="shared" si="479"/>
        <v>0</v>
      </c>
      <c r="V145" s="16">
        <f t="shared" si="480"/>
        <v>0</v>
      </c>
      <c r="W145" s="17">
        <f t="shared" si="481"/>
        <v>0</v>
      </c>
    </row>
    <row r="146" spans="1:23" ht="10.5" hidden="1" customHeight="1" x14ac:dyDescent="0.2">
      <c r="A146" s="11"/>
      <c r="B146" s="149">
        <f>COUNTA(Spieltag!K133:AA133)</f>
        <v>0</v>
      </c>
      <c r="C146" s="166">
        <f>Spieltag!A133</f>
        <v>6</v>
      </c>
      <c r="D146" s="21" t="str">
        <f>Spieltag!B133</f>
        <v>Attila Szalai (A)</v>
      </c>
      <c r="E146" s="12" t="str">
        <f>Spieltag!C133</f>
        <v>Abwehr</v>
      </c>
      <c r="F146" s="13" t="s">
        <v>87</v>
      </c>
      <c r="G146" s="14"/>
      <c r="H146" s="15">
        <f t="shared" ref="H146:H152" si="482">IF(G146="x",10,0)</f>
        <v>0</v>
      </c>
      <c r="I146" s="14"/>
      <c r="J146" s="15">
        <f t="shared" ref="J146:J152" si="483">IF((I146="x"),-10,0)</f>
        <v>0</v>
      </c>
      <c r="K146" s="14"/>
      <c r="L146" s="15">
        <f t="shared" ref="L146:L152" si="484">IF((K146="x"),-20,0)</f>
        <v>0</v>
      </c>
      <c r="M146" s="14"/>
      <c r="N146" s="15">
        <f t="shared" ref="N146:N152" si="485">IF((M146="x"),-30,0)</f>
        <v>0</v>
      </c>
      <c r="O146" s="16">
        <f t="shared" si="467"/>
        <v>0</v>
      </c>
      <c r="P146" s="16">
        <f t="shared" si="468"/>
        <v>10</v>
      </c>
      <c r="Q146" s="16">
        <f t="shared" si="469"/>
        <v>-20</v>
      </c>
      <c r="R146" s="14"/>
      <c r="S146" s="15">
        <f t="shared" ref="S146:S152" si="486">R146*15</f>
        <v>0</v>
      </c>
      <c r="T146" s="14"/>
      <c r="U146" s="15">
        <f t="shared" ref="U146:U152" si="487">T146*-15</f>
        <v>0</v>
      </c>
      <c r="V146" s="16">
        <f t="shared" ref="V146:V152" si="488">IF(AND(R146=2),10,IF(R146=3,30,IF(R146=4,50,IF(R146=5,70,0))))</f>
        <v>0</v>
      </c>
      <c r="W146" s="17">
        <f t="shared" ref="W146:W152" si="489">IF(G146="x",H146+J146+L146+N146+O146+P146+Q146+S146+U146+V146,0)</f>
        <v>0</v>
      </c>
    </row>
    <row r="147" spans="1:23" ht="10.5" hidden="1" customHeight="1" x14ac:dyDescent="0.2">
      <c r="A147" s="11"/>
      <c r="B147" s="149">
        <f>COUNTA(Spieltag!K134:AA134)</f>
        <v>0</v>
      </c>
      <c r="C147" s="166">
        <f>Spieltag!A134</f>
        <v>17</v>
      </c>
      <c r="D147" s="21" t="str">
        <f>Spieltag!B134</f>
        <v>Lukas Kübler</v>
      </c>
      <c r="E147" s="12" t="str">
        <f>Spieltag!C134</f>
        <v>Abwehr</v>
      </c>
      <c r="F147" s="13" t="s">
        <v>87</v>
      </c>
      <c r="G147" s="14"/>
      <c r="H147" s="15">
        <f t="shared" si="482"/>
        <v>0</v>
      </c>
      <c r="I147" s="14"/>
      <c r="J147" s="15">
        <f t="shared" si="483"/>
        <v>0</v>
      </c>
      <c r="K147" s="14"/>
      <c r="L147" s="15">
        <f t="shared" si="484"/>
        <v>0</v>
      </c>
      <c r="M147" s="14"/>
      <c r="N147" s="15">
        <f t="shared" si="485"/>
        <v>0</v>
      </c>
      <c r="O147" s="16">
        <f t="shared" si="467"/>
        <v>0</v>
      </c>
      <c r="P147" s="16">
        <f t="shared" si="468"/>
        <v>10</v>
      </c>
      <c r="Q147" s="16">
        <f t="shared" si="469"/>
        <v>-20</v>
      </c>
      <c r="R147" s="14"/>
      <c r="S147" s="15">
        <f t="shared" si="486"/>
        <v>0</v>
      </c>
      <c r="T147" s="14"/>
      <c r="U147" s="15">
        <f t="shared" si="487"/>
        <v>0</v>
      </c>
      <c r="V147" s="16">
        <f t="shared" si="488"/>
        <v>0</v>
      </c>
      <c r="W147" s="17">
        <f t="shared" si="489"/>
        <v>0</v>
      </c>
    </row>
    <row r="148" spans="1:23" ht="10.5" hidden="1" customHeight="1" x14ac:dyDescent="0.2">
      <c r="A148" s="11"/>
      <c r="B148" s="149">
        <f>COUNTA(Spieltag!K135:AA135)</f>
        <v>0</v>
      </c>
      <c r="C148" s="166">
        <f>Spieltag!A135</f>
        <v>25</v>
      </c>
      <c r="D148" s="21" t="str">
        <f>Spieltag!B135</f>
        <v>Kiliann Sildillia (A)</v>
      </c>
      <c r="E148" s="12" t="str">
        <f>Spieltag!C135</f>
        <v>Abwehr</v>
      </c>
      <c r="F148" s="13" t="s">
        <v>87</v>
      </c>
      <c r="G148" s="14"/>
      <c r="H148" s="15">
        <f t="shared" si="482"/>
        <v>0</v>
      </c>
      <c r="I148" s="14"/>
      <c r="J148" s="15">
        <f t="shared" si="483"/>
        <v>0</v>
      </c>
      <c r="K148" s="14"/>
      <c r="L148" s="15">
        <f t="shared" si="484"/>
        <v>0</v>
      </c>
      <c r="M148" s="14"/>
      <c r="N148" s="15">
        <f t="shared" si="485"/>
        <v>0</v>
      </c>
      <c r="O148" s="16">
        <f t="shared" si="467"/>
        <v>0</v>
      </c>
      <c r="P148" s="16">
        <f t="shared" si="468"/>
        <v>10</v>
      </c>
      <c r="Q148" s="16">
        <f t="shared" si="469"/>
        <v>-20</v>
      </c>
      <c r="R148" s="14"/>
      <c r="S148" s="15">
        <f t="shared" si="486"/>
        <v>0</v>
      </c>
      <c r="T148" s="14"/>
      <c r="U148" s="15">
        <f t="shared" si="487"/>
        <v>0</v>
      </c>
      <c r="V148" s="16">
        <f t="shared" si="488"/>
        <v>0</v>
      </c>
      <c r="W148" s="17">
        <f t="shared" si="489"/>
        <v>0</v>
      </c>
    </row>
    <row r="149" spans="1:23" ht="10.5" hidden="1" customHeight="1" x14ac:dyDescent="0.2">
      <c r="A149" s="11"/>
      <c r="B149" s="149">
        <f>COUNTA(Spieltag!K136:AA136)</f>
        <v>0</v>
      </c>
      <c r="C149" s="166">
        <f>Spieltag!A136</f>
        <v>28</v>
      </c>
      <c r="D149" s="21" t="str">
        <f>Spieltag!B136</f>
        <v>Matthias Ginter</v>
      </c>
      <c r="E149" s="12" t="str">
        <f>Spieltag!C136</f>
        <v>Abwehr</v>
      </c>
      <c r="F149" s="13" t="s">
        <v>87</v>
      </c>
      <c r="G149" s="14"/>
      <c r="H149" s="15">
        <f t="shared" si="482"/>
        <v>0</v>
      </c>
      <c r="I149" s="14"/>
      <c r="J149" s="15">
        <f t="shared" si="483"/>
        <v>0</v>
      </c>
      <c r="K149" s="14"/>
      <c r="L149" s="15">
        <f t="shared" si="484"/>
        <v>0</v>
      </c>
      <c r="M149" s="14"/>
      <c r="N149" s="15">
        <f t="shared" si="485"/>
        <v>0</v>
      </c>
      <c r="O149" s="16">
        <f t="shared" si="467"/>
        <v>0</v>
      </c>
      <c r="P149" s="16">
        <f t="shared" si="468"/>
        <v>10</v>
      </c>
      <c r="Q149" s="16">
        <f t="shared" si="469"/>
        <v>-20</v>
      </c>
      <c r="R149" s="14"/>
      <c r="S149" s="15">
        <f t="shared" si="486"/>
        <v>0</v>
      </c>
      <c r="T149" s="14"/>
      <c r="U149" s="15">
        <f t="shared" si="487"/>
        <v>0</v>
      </c>
      <c r="V149" s="16">
        <f t="shared" si="488"/>
        <v>0</v>
      </c>
      <c r="W149" s="17">
        <f t="shared" si="489"/>
        <v>0</v>
      </c>
    </row>
    <row r="150" spans="1:23" ht="10.5" customHeight="1" x14ac:dyDescent="0.2">
      <c r="A150" s="11"/>
      <c r="B150" s="149">
        <f>COUNTA(Spieltag!K137:AA137)</f>
        <v>2</v>
      </c>
      <c r="C150" s="166">
        <f>Spieltag!A137</f>
        <v>30</v>
      </c>
      <c r="D150" s="21" t="str">
        <f>Spieltag!B137</f>
        <v>Christian Günter</v>
      </c>
      <c r="E150" s="12" t="str">
        <f>Spieltag!C137</f>
        <v>Abwehr</v>
      </c>
      <c r="F150" s="13" t="s">
        <v>87</v>
      </c>
      <c r="G150" s="14" t="s">
        <v>676</v>
      </c>
      <c r="H150" s="15">
        <f t="shared" si="482"/>
        <v>10</v>
      </c>
      <c r="I150" s="14"/>
      <c r="J150" s="15">
        <f t="shared" si="483"/>
        <v>0</v>
      </c>
      <c r="K150" s="14"/>
      <c r="L150" s="15">
        <f t="shared" si="484"/>
        <v>0</v>
      </c>
      <c r="M150" s="14"/>
      <c r="N150" s="15">
        <f t="shared" si="485"/>
        <v>0</v>
      </c>
      <c r="O150" s="16">
        <f t="shared" si="467"/>
        <v>0</v>
      </c>
      <c r="P150" s="16">
        <f t="shared" si="468"/>
        <v>10</v>
      </c>
      <c r="Q150" s="16">
        <f t="shared" si="469"/>
        <v>-20</v>
      </c>
      <c r="R150" s="14"/>
      <c r="S150" s="15">
        <f t="shared" si="486"/>
        <v>0</v>
      </c>
      <c r="T150" s="14"/>
      <c r="U150" s="15">
        <f t="shared" si="487"/>
        <v>0</v>
      </c>
      <c r="V150" s="16">
        <f t="shared" si="488"/>
        <v>0</v>
      </c>
      <c r="W150" s="17">
        <f t="shared" si="489"/>
        <v>0</v>
      </c>
    </row>
    <row r="151" spans="1:23" ht="10.5" hidden="1" customHeight="1" x14ac:dyDescent="0.2">
      <c r="A151" s="11"/>
      <c r="B151" s="149">
        <f>COUNTA(Spieltag!K138:AA138)</f>
        <v>0</v>
      </c>
      <c r="C151" s="166">
        <f>Spieltag!A138</f>
        <v>33</v>
      </c>
      <c r="D151" s="21" t="str">
        <f>Spieltag!B138</f>
        <v>Jordy Makengo (A)</v>
      </c>
      <c r="E151" s="12" t="str">
        <f>Spieltag!C138</f>
        <v>Abwehr</v>
      </c>
      <c r="F151" s="13" t="s">
        <v>87</v>
      </c>
      <c r="G151" s="14"/>
      <c r="H151" s="15">
        <f t="shared" si="482"/>
        <v>0</v>
      </c>
      <c r="I151" s="14"/>
      <c r="J151" s="15">
        <f t="shared" si="483"/>
        <v>0</v>
      </c>
      <c r="K151" s="14"/>
      <c r="L151" s="15">
        <f t="shared" si="484"/>
        <v>0</v>
      </c>
      <c r="M151" s="14"/>
      <c r="N151" s="15">
        <f t="shared" si="485"/>
        <v>0</v>
      </c>
      <c r="O151" s="16">
        <f t="shared" si="467"/>
        <v>0</v>
      </c>
      <c r="P151" s="16">
        <f t="shared" si="468"/>
        <v>10</v>
      </c>
      <c r="Q151" s="16">
        <f t="shared" si="469"/>
        <v>-20</v>
      </c>
      <c r="R151" s="14"/>
      <c r="S151" s="15">
        <f t="shared" si="486"/>
        <v>0</v>
      </c>
      <c r="T151" s="14"/>
      <c r="U151" s="15">
        <f t="shared" si="487"/>
        <v>0</v>
      </c>
      <c r="V151" s="16">
        <f t="shared" si="488"/>
        <v>0</v>
      </c>
      <c r="W151" s="17">
        <f t="shared" si="489"/>
        <v>0</v>
      </c>
    </row>
    <row r="152" spans="1:23" ht="10.5" hidden="1" customHeight="1" x14ac:dyDescent="0.2">
      <c r="A152" s="11"/>
      <c r="B152" s="149">
        <f>COUNTA(Spieltag!K139:AA139)</f>
        <v>0</v>
      </c>
      <c r="C152" s="166">
        <f>Spieltag!A139</f>
        <v>37</v>
      </c>
      <c r="D152" s="21" t="str">
        <f>Spieltag!B139</f>
        <v>Max Rosenfelder</v>
      </c>
      <c r="E152" s="12" t="str">
        <f>Spieltag!C139</f>
        <v>Abwehr</v>
      </c>
      <c r="F152" s="13" t="s">
        <v>87</v>
      </c>
      <c r="G152" s="14"/>
      <c r="H152" s="15">
        <f t="shared" si="482"/>
        <v>0</v>
      </c>
      <c r="I152" s="14"/>
      <c r="J152" s="15">
        <f t="shared" si="483"/>
        <v>0</v>
      </c>
      <c r="K152" s="14"/>
      <c r="L152" s="15">
        <f t="shared" si="484"/>
        <v>0</v>
      </c>
      <c r="M152" s="14"/>
      <c r="N152" s="15">
        <f t="shared" si="485"/>
        <v>0</v>
      </c>
      <c r="O152" s="16">
        <f t="shared" si="467"/>
        <v>0</v>
      </c>
      <c r="P152" s="16">
        <f t="shared" si="468"/>
        <v>10</v>
      </c>
      <c r="Q152" s="16">
        <f t="shared" si="469"/>
        <v>-20</v>
      </c>
      <c r="R152" s="14"/>
      <c r="S152" s="15">
        <f t="shared" si="486"/>
        <v>0</v>
      </c>
      <c r="T152" s="14"/>
      <c r="U152" s="15">
        <f t="shared" si="487"/>
        <v>0</v>
      </c>
      <c r="V152" s="16">
        <f t="shared" si="488"/>
        <v>0</v>
      </c>
      <c r="W152" s="17">
        <f t="shared" si="489"/>
        <v>0</v>
      </c>
    </row>
    <row r="153" spans="1:23" ht="10.5" hidden="1" customHeight="1" x14ac:dyDescent="0.2">
      <c r="A153" s="11"/>
      <c r="B153" s="149">
        <f>COUNTA(Spieltag!K140:AA140)</f>
        <v>0</v>
      </c>
      <c r="C153" s="166">
        <f>Spieltag!A140</f>
        <v>7</v>
      </c>
      <c r="D153" s="21" t="str">
        <f>Spieltag!B140</f>
        <v>Noah Weisshaupt</v>
      </c>
      <c r="E153" s="12" t="str">
        <f>Spieltag!C140</f>
        <v>Mittelfeld</v>
      </c>
      <c r="F153" s="13" t="s">
        <v>87</v>
      </c>
      <c r="G153" s="14"/>
      <c r="H153" s="15">
        <f t="shared" ref="H153" si="490">IF(G153="x",10,0)</f>
        <v>0</v>
      </c>
      <c r="I153" s="14"/>
      <c r="J153" s="15">
        <f t="shared" ref="J153" si="491">IF((I153="x"),-10,0)</f>
        <v>0</v>
      </c>
      <c r="K153" s="14"/>
      <c r="L153" s="15">
        <f t="shared" ref="L153" si="492">IF((K153="x"),-20,0)</f>
        <v>0</v>
      </c>
      <c r="M153" s="14"/>
      <c r="N153" s="15">
        <f t="shared" ref="N153" si="493">IF((M153="x"),-30,0)</f>
        <v>0</v>
      </c>
      <c r="O153" s="16">
        <f t="shared" si="467"/>
        <v>0</v>
      </c>
      <c r="P153" s="16">
        <f t="shared" si="468"/>
        <v>10</v>
      </c>
      <c r="Q153" s="16">
        <f t="shared" ref="Q153:Q165" si="494">IF(($W$8&lt;&gt;0),$W$8*-10,10)</f>
        <v>-20</v>
      </c>
      <c r="R153" s="14"/>
      <c r="S153" s="15">
        <f t="shared" ref="S153" si="495">R153*10</f>
        <v>0</v>
      </c>
      <c r="T153" s="14"/>
      <c r="U153" s="15">
        <f t="shared" ref="U153" si="496">T153*-15</f>
        <v>0</v>
      </c>
      <c r="V153" s="16">
        <f t="shared" ref="V153" si="497">IF(AND(R153=2),10,IF(R153=3,30,IF(R153=4,50,IF(R153=5,70,0))))</f>
        <v>0</v>
      </c>
      <c r="W153" s="17">
        <f t="shared" ref="W153" si="498">IF(G153="x",H153+J153+L153+N153+O153+P153+Q153+S153+U153+V153,0)</f>
        <v>0</v>
      </c>
    </row>
    <row r="154" spans="1:23" ht="10.5" customHeight="1" x14ac:dyDescent="0.2">
      <c r="A154" s="11"/>
      <c r="B154" s="149">
        <f>COUNTA(Spieltag!K141:AA141)</f>
        <v>1</v>
      </c>
      <c r="C154" s="166">
        <f>Spieltag!A141</f>
        <v>8</v>
      </c>
      <c r="D154" s="21" t="str">
        <f>Spieltag!B141</f>
        <v>Maximilian Eggestein</v>
      </c>
      <c r="E154" s="12" t="str">
        <f>Spieltag!C141</f>
        <v>Mittelfeld</v>
      </c>
      <c r="F154" s="13" t="s">
        <v>87</v>
      </c>
      <c r="G154" s="14" t="s">
        <v>676</v>
      </c>
      <c r="H154" s="15">
        <f t="shared" ref="H154:H165" si="499">IF(G154="x",10,0)</f>
        <v>10</v>
      </c>
      <c r="I154" s="14" t="s">
        <v>676</v>
      </c>
      <c r="J154" s="15">
        <f t="shared" ref="J154:J165" si="500">IF((I154="x"),-10,0)</f>
        <v>-10</v>
      </c>
      <c r="K154" s="14"/>
      <c r="L154" s="15">
        <f t="shared" ref="L154:L165" si="501">IF((K154="x"),-20,0)</f>
        <v>0</v>
      </c>
      <c r="M154" s="14"/>
      <c r="N154" s="15">
        <f t="shared" ref="N154:N165" si="502">IF((M154="x"),-30,0)</f>
        <v>0</v>
      </c>
      <c r="O154" s="16">
        <f t="shared" si="467"/>
        <v>0</v>
      </c>
      <c r="P154" s="16">
        <f t="shared" si="468"/>
        <v>10</v>
      </c>
      <c r="Q154" s="16">
        <f t="shared" si="494"/>
        <v>-20</v>
      </c>
      <c r="R154" s="14"/>
      <c r="S154" s="15">
        <f t="shared" ref="S154:S165" si="503">R154*10</f>
        <v>0</v>
      </c>
      <c r="T154" s="14"/>
      <c r="U154" s="15">
        <f t="shared" ref="U154:U165" si="504">T154*-15</f>
        <v>0</v>
      </c>
      <c r="V154" s="16">
        <f t="shared" ref="V154:V165" si="505">IF(AND(R154=2),10,IF(R154=3,30,IF(R154=4,50,IF(R154=5,70,0))))</f>
        <v>0</v>
      </c>
      <c r="W154" s="17">
        <f t="shared" ref="W154:W165" si="506">IF(G154="x",H154+J154+L154+N154+O154+P154+Q154+S154+U154+V154,0)</f>
        <v>-10</v>
      </c>
    </row>
    <row r="155" spans="1:23" ht="10.5" hidden="1" customHeight="1" x14ac:dyDescent="0.2">
      <c r="A155" s="11"/>
      <c r="B155" s="149">
        <f>COUNTA(Spieltag!K142:AA142)</f>
        <v>0</v>
      </c>
      <c r="C155" s="166">
        <f>Spieltag!A142</f>
        <v>11</v>
      </c>
      <c r="D155" s="21" t="str">
        <f>Spieltag!B142</f>
        <v>Daniel-Kofi Kyereh</v>
      </c>
      <c r="E155" s="12" t="str">
        <f>Spieltag!C142</f>
        <v>Mittelfeld</v>
      </c>
      <c r="F155" s="13" t="s">
        <v>87</v>
      </c>
      <c r="G155" s="14"/>
      <c r="H155" s="15">
        <f t="shared" si="499"/>
        <v>0</v>
      </c>
      <c r="I155" s="14"/>
      <c r="J155" s="15">
        <f t="shared" si="500"/>
        <v>0</v>
      </c>
      <c r="K155" s="14"/>
      <c r="L155" s="15">
        <f t="shared" si="501"/>
        <v>0</v>
      </c>
      <c r="M155" s="14"/>
      <c r="N155" s="15">
        <f t="shared" si="502"/>
        <v>0</v>
      </c>
      <c r="O155" s="16">
        <f t="shared" si="467"/>
        <v>0</v>
      </c>
      <c r="P155" s="16">
        <f t="shared" si="468"/>
        <v>10</v>
      </c>
      <c r="Q155" s="16">
        <f t="shared" si="494"/>
        <v>-20</v>
      </c>
      <c r="R155" s="14"/>
      <c r="S155" s="15">
        <f t="shared" si="503"/>
        <v>0</v>
      </c>
      <c r="T155" s="14"/>
      <c r="U155" s="15">
        <f t="shared" si="504"/>
        <v>0</v>
      </c>
      <c r="V155" s="16">
        <f t="shared" si="505"/>
        <v>0</v>
      </c>
      <c r="W155" s="17">
        <f t="shared" si="506"/>
        <v>0</v>
      </c>
    </row>
    <row r="156" spans="1:23" ht="10.5" hidden="1" customHeight="1" x14ac:dyDescent="0.2">
      <c r="A156" s="11"/>
      <c r="B156" s="149">
        <f>COUNTA(Spieltag!K143:AA143)</f>
        <v>0</v>
      </c>
      <c r="C156" s="166">
        <f>Spieltag!A143</f>
        <v>14</v>
      </c>
      <c r="D156" s="21" t="str">
        <f>Spieltag!B143</f>
        <v>Yannik Keitel</v>
      </c>
      <c r="E156" s="12" t="str">
        <f>Spieltag!C143</f>
        <v>Mittelfeld</v>
      </c>
      <c r="F156" s="13" t="s">
        <v>87</v>
      </c>
      <c r="G156" s="14"/>
      <c r="H156" s="15">
        <f t="shared" si="499"/>
        <v>0</v>
      </c>
      <c r="I156" s="14"/>
      <c r="J156" s="15">
        <f t="shared" si="500"/>
        <v>0</v>
      </c>
      <c r="K156" s="14"/>
      <c r="L156" s="15">
        <f t="shared" si="501"/>
        <v>0</v>
      </c>
      <c r="M156" s="14"/>
      <c r="N156" s="15">
        <f t="shared" si="502"/>
        <v>0</v>
      </c>
      <c r="O156" s="16">
        <f t="shared" si="467"/>
        <v>0</v>
      </c>
      <c r="P156" s="16">
        <f t="shared" si="468"/>
        <v>10</v>
      </c>
      <c r="Q156" s="16">
        <f t="shared" si="494"/>
        <v>-20</v>
      </c>
      <c r="R156" s="14"/>
      <c r="S156" s="15">
        <f t="shared" si="503"/>
        <v>0</v>
      </c>
      <c r="T156" s="14"/>
      <c r="U156" s="15">
        <f t="shared" si="504"/>
        <v>0</v>
      </c>
      <c r="V156" s="16">
        <f t="shared" si="505"/>
        <v>0</v>
      </c>
      <c r="W156" s="17">
        <f t="shared" si="506"/>
        <v>0</v>
      </c>
    </row>
    <row r="157" spans="1:23" ht="10.5" hidden="1" customHeight="1" x14ac:dyDescent="0.2">
      <c r="A157" s="11"/>
      <c r="B157" s="149">
        <f>COUNTA(Spieltag!K144:AA144)</f>
        <v>0</v>
      </c>
      <c r="C157" s="166">
        <f>Spieltag!A144</f>
        <v>22</v>
      </c>
      <c r="D157" s="21" t="str">
        <f>Spieltag!B144</f>
        <v>Roland Sallai (A)</v>
      </c>
      <c r="E157" s="12" t="str">
        <f>Spieltag!C144</f>
        <v>Mittelfeld</v>
      </c>
      <c r="F157" s="13" t="s">
        <v>87</v>
      </c>
      <c r="G157" s="14"/>
      <c r="H157" s="15">
        <f t="shared" si="499"/>
        <v>0</v>
      </c>
      <c r="I157" s="14"/>
      <c r="J157" s="15">
        <f t="shared" si="500"/>
        <v>0</v>
      </c>
      <c r="K157" s="14"/>
      <c r="L157" s="15">
        <f t="shared" si="501"/>
        <v>0</v>
      </c>
      <c r="M157" s="14"/>
      <c r="N157" s="15">
        <f t="shared" si="502"/>
        <v>0</v>
      </c>
      <c r="O157" s="16">
        <f t="shared" si="467"/>
        <v>0</v>
      </c>
      <c r="P157" s="16">
        <f t="shared" si="468"/>
        <v>10</v>
      </c>
      <c r="Q157" s="16">
        <f t="shared" si="494"/>
        <v>-20</v>
      </c>
      <c r="R157" s="14"/>
      <c r="S157" s="15">
        <f t="shared" si="503"/>
        <v>0</v>
      </c>
      <c r="T157" s="14"/>
      <c r="U157" s="15">
        <f t="shared" si="504"/>
        <v>0</v>
      </c>
      <c r="V157" s="16">
        <f t="shared" si="505"/>
        <v>0</v>
      </c>
      <c r="W157" s="17">
        <f t="shared" si="506"/>
        <v>0</v>
      </c>
    </row>
    <row r="158" spans="1:23" ht="10.5" hidden="1" customHeight="1" x14ac:dyDescent="0.2">
      <c r="A158" s="11"/>
      <c r="B158" s="149">
        <f>COUNTA(Spieltag!K145:AA145)</f>
        <v>0</v>
      </c>
      <c r="C158" s="166">
        <f>Spieltag!A145</f>
        <v>23</v>
      </c>
      <c r="D158" s="21" t="str">
        <f>Spieltag!B145</f>
        <v>Florent Muslija</v>
      </c>
      <c r="E158" s="12" t="str">
        <f>Spieltag!C145</f>
        <v>Mittelfeld</v>
      </c>
      <c r="F158" s="13" t="s">
        <v>87</v>
      </c>
      <c r="G158" s="14"/>
      <c r="H158" s="15">
        <f t="shared" ref="H158" si="507">IF(G158="x",10,0)</f>
        <v>0</v>
      </c>
      <c r="I158" s="14"/>
      <c r="J158" s="15">
        <f t="shared" ref="J158" si="508">IF((I158="x"),-10,0)</f>
        <v>0</v>
      </c>
      <c r="K158" s="14"/>
      <c r="L158" s="15">
        <f t="shared" ref="L158" si="509">IF((K158="x"),-20,0)</f>
        <v>0</v>
      </c>
      <c r="M158" s="14"/>
      <c r="N158" s="15">
        <f t="shared" ref="N158" si="510">IF((M158="x"),-30,0)</f>
        <v>0</v>
      </c>
      <c r="O158" s="16">
        <f t="shared" si="467"/>
        <v>0</v>
      </c>
      <c r="P158" s="16">
        <f t="shared" si="468"/>
        <v>10</v>
      </c>
      <c r="Q158" s="16">
        <f t="shared" si="494"/>
        <v>-20</v>
      </c>
      <c r="R158" s="14"/>
      <c r="S158" s="15">
        <f t="shared" ref="S158" si="511">R158*10</f>
        <v>0</v>
      </c>
      <c r="T158" s="14"/>
      <c r="U158" s="15">
        <f t="shared" ref="U158" si="512">T158*-15</f>
        <v>0</v>
      </c>
      <c r="V158" s="16">
        <f t="shared" ref="V158" si="513">IF(AND(R158=2),10,IF(R158=3,30,IF(R158=4,50,IF(R158=5,70,0))))</f>
        <v>0</v>
      </c>
      <c r="W158" s="17">
        <f t="shared" ref="W158" si="514">IF(G158="x",H158+J158+L158+N158+O158+P158+Q158+S158+U158+V158,0)</f>
        <v>0</v>
      </c>
    </row>
    <row r="159" spans="1:23" ht="10.5" hidden="1" customHeight="1" x14ac:dyDescent="0.2">
      <c r="A159" s="11"/>
      <c r="B159" s="149">
        <f>COUNTA(Spieltag!K146:AA146)</f>
        <v>0</v>
      </c>
      <c r="C159" s="166">
        <f>Spieltag!A146</f>
        <v>27</v>
      </c>
      <c r="D159" s="21" t="str">
        <f>Spieltag!B146</f>
        <v>Nicolas Höfler</v>
      </c>
      <c r="E159" s="12" t="str">
        <f>Spieltag!C146</f>
        <v>Mittelfeld</v>
      </c>
      <c r="F159" s="13" t="s">
        <v>87</v>
      </c>
      <c r="G159" s="14"/>
      <c r="H159" s="15">
        <f t="shared" si="499"/>
        <v>0</v>
      </c>
      <c r="I159" s="14"/>
      <c r="J159" s="15">
        <f t="shared" si="500"/>
        <v>0</v>
      </c>
      <c r="K159" s="14"/>
      <c r="L159" s="15">
        <f t="shared" si="501"/>
        <v>0</v>
      </c>
      <c r="M159" s="14"/>
      <c r="N159" s="15">
        <f t="shared" si="502"/>
        <v>0</v>
      </c>
      <c r="O159" s="16">
        <f t="shared" si="467"/>
        <v>0</v>
      </c>
      <c r="P159" s="16">
        <f t="shared" si="468"/>
        <v>10</v>
      </c>
      <c r="Q159" s="16">
        <f t="shared" si="494"/>
        <v>-20</v>
      </c>
      <c r="R159" s="14"/>
      <c r="S159" s="15">
        <f t="shared" si="503"/>
        <v>0</v>
      </c>
      <c r="T159" s="14"/>
      <c r="U159" s="15">
        <f t="shared" si="504"/>
        <v>0</v>
      </c>
      <c r="V159" s="16">
        <f t="shared" si="505"/>
        <v>0</v>
      </c>
      <c r="W159" s="17">
        <f t="shared" si="506"/>
        <v>0</v>
      </c>
    </row>
    <row r="160" spans="1:23" ht="10.5" customHeight="1" x14ac:dyDescent="0.2">
      <c r="A160" s="11"/>
      <c r="B160" s="149">
        <f>COUNTA(Spieltag!K147:AA147)</f>
        <v>1</v>
      </c>
      <c r="C160" s="166">
        <f>Spieltag!A147</f>
        <v>32</v>
      </c>
      <c r="D160" s="21" t="str">
        <f>Spieltag!B147</f>
        <v>Vincenzo Grifo</v>
      </c>
      <c r="E160" s="12" t="str">
        <f>Spieltag!C147</f>
        <v>Mittelfeld</v>
      </c>
      <c r="F160" s="13" t="s">
        <v>87</v>
      </c>
      <c r="G160" s="14" t="s">
        <v>676</v>
      </c>
      <c r="H160" s="15">
        <f t="shared" si="499"/>
        <v>10</v>
      </c>
      <c r="I160" s="14"/>
      <c r="J160" s="15">
        <f t="shared" si="500"/>
        <v>0</v>
      </c>
      <c r="K160" s="14"/>
      <c r="L160" s="15">
        <f t="shared" si="501"/>
        <v>0</v>
      </c>
      <c r="M160" s="14"/>
      <c r="N160" s="15">
        <f t="shared" si="502"/>
        <v>0</v>
      </c>
      <c r="O160" s="16">
        <f t="shared" si="467"/>
        <v>0</v>
      </c>
      <c r="P160" s="16">
        <f t="shared" si="468"/>
        <v>10</v>
      </c>
      <c r="Q160" s="16">
        <f t="shared" si="494"/>
        <v>-20</v>
      </c>
      <c r="R160" s="14"/>
      <c r="S160" s="15">
        <f t="shared" si="503"/>
        <v>0</v>
      </c>
      <c r="T160" s="14"/>
      <c r="U160" s="15">
        <f t="shared" si="504"/>
        <v>0</v>
      </c>
      <c r="V160" s="16">
        <f t="shared" si="505"/>
        <v>0</v>
      </c>
      <c r="W160" s="17">
        <f t="shared" si="506"/>
        <v>0</v>
      </c>
    </row>
    <row r="161" spans="1:23" ht="10.5" hidden="1" customHeight="1" x14ac:dyDescent="0.2">
      <c r="A161" s="11"/>
      <c r="B161" s="149">
        <f>COUNTA(Spieltag!K148:AA148)</f>
        <v>0</v>
      </c>
      <c r="C161" s="166">
        <f>Spieltag!A148</f>
        <v>34</v>
      </c>
      <c r="D161" s="21" t="str">
        <f>Spieltag!B148</f>
        <v>Merlin Röhl</v>
      </c>
      <c r="E161" s="12" t="str">
        <f>Spieltag!C148</f>
        <v>Mittelfeld</v>
      </c>
      <c r="F161" s="13" t="s">
        <v>87</v>
      </c>
      <c r="G161" s="14"/>
      <c r="H161" s="15">
        <f t="shared" si="499"/>
        <v>0</v>
      </c>
      <c r="I161" s="14"/>
      <c r="J161" s="15">
        <f t="shared" si="500"/>
        <v>0</v>
      </c>
      <c r="K161" s="14"/>
      <c r="L161" s="15">
        <f t="shared" si="501"/>
        <v>0</v>
      </c>
      <c r="M161" s="14"/>
      <c r="N161" s="15">
        <f t="shared" si="502"/>
        <v>0</v>
      </c>
      <c r="O161" s="16">
        <f t="shared" si="467"/>
        <v>0</v>
      </c>
      <c r="P161" s="16">
        <f t="shared" si="468"/>
        <v>10</v>
      </c>
      <c r="Q161" s="16">
        <f t="shared" si="494"/>
        <v>-20</v>
      </c>
      <c r="R161" s="14"/>
      <c r="S161" s="15">
        <f t="shared" si="503"/>
        <v>0</v>
      </c>
      <c r="T161" s="14"/>
      <c r="U161" s="15">
        <f t="shared" si="504"/>
        <v>0</v>
      </c>
      <c r="V161" s="16">
        <f t="shared" si="505"/>
        <v>0</v>
      </c>
      <c r="W161" s="17">
        <f t="shared" si="506"/>
        <v>0</v>
      </c>
    </row>
    <row r="162" spans="1:23" ht="10.5" hidden="1" customHeight="1" x14ac:dyDescent="0.2">
      <c r="A162" s="11"/>
      <c r="B162" s="149">
        <f>COUNTA(Spieltag!K149:AA149)</f>
        <v>0</v>
      </c>
      <c r="C162" s="166">
        <f>Spieltag!A149</f>
        <v>35</v>
      </c>
      <c r="D162" s="21" t="str">
        <f>Spieltag!B149</f>
        <v>Fabian Rüdlin</v>
      </c>
      <c r="E162" s="12" t="str">
        <f>Spieltag!C149</f>
        <v>Mittelfeld</v>
      </c>
      <c r="F162" s="13" t="s">
        <v>87</v>
      </c>
      <c r="G162" s="14"/>
      <c r="H162" s="15">
        <f t="shared" si="499"/>
        <v>0</v>
      </c>
      <c r="I162" s="14"/>
      <c r="J162" s="15">
        <f t="shared" si="500"/>
        <v>0</v>
      </c>
      <c r="K162" s="14"/>
      <c r="L162" s="15">
        <f t="shared" si="501"/>
        <v>0</v>
      </c>
      <c r="M162" s="14"/>
      <c r="N162" s="15">
        <f t="shared" si="502"/>
        <v>0</v>
      </c>
      <c r="O162" s="16">
        <f t="shared" si="467"/>
        <v>0</v>
      </c>
      <c r="P162" s="16">
        <f t="shared" si="468"/>
        <v>10</v>
      </c>
      <c r="Q162" s="16">
        <f t="shared" si="494"/>
        <v>-20</v>
      </c>
      <c r="R162" s="14"/>
      <c r="S162" s="15">
        <f t="shared" si="503"/>
        <v>0</v>
      </c>
      <c r="T162" s="14"/>
      <c r="U162" s="15">
        <f t="shared" si="504"/>
        <v>0</v>
      </c>
      <c r="V162" s="16">
        <f t="shared" si="505"/>
        <v>0</v>
      </c>
      <c r="W162" s="17">
        <f t="shared" si="506"/>
        <v>0</v>
      </c>
    </row>
    <row r="163" spans="1:23" ht="10.5" hidden="1" customHeight="1" x14ac:dyDescent="0.2">
      <c r="A163" s="11"/>
      <c r="B163" s="149">
        <f>COUNTA(Spieltag!K150:AA150)</f>
        <v>0</v>
      </c>
      <c r="C163" s="166">
        <f>Spieltag!A150</f>
        <v>42</v>
      </c>
      <c r="D163" s="21" t="str">
        <f>Spieltag!B150</f>
        <v>Ritsu Dōan (A)</v>
      </c>
      <c r="E163" s="12" t="str">
        <f>Spieltag!C150</f>
        <v>Mittelfeld</v>
      </c>
      <c r="F163" s="13" t="s">
        <v>87</v>
      </c>
      <c r="G163" s="14"/>
      <c r="H163" s="15">
        <f t="shared" ref="H163:H164" si="515">IF(G163="x",10,0)</f>
        <v>0</v>
      </c>
      <c r="I163" s="14"/>
      <c r="J163" s="15">
        <f t="shared" ref="J163:J164" si="516">IF((I163="x"),-10,0)</f>
        <v>0</v>
      </c>
      <c r="K163" s="14"/>
      <c r="L163" s="15">
        <f t="shared" ref="L163:L164" si="517">IF((K163="x"),-20,0)</f>
        <v>0</v>
      </c>
      <c r="M163" s="14"/>
      <c r="N163" s="15">
        <f t="shared" ref="N163:N164" si="518">IF((M163="x"),-30,0)</f>
        <v>0</v>
      </c>
      <c r="O163" s="16">
        <f t="shared" si="467"/>
        <v>0</v>
      </c>
      <c r="P163" s="16">
        <f t="shared" si="468"/>
        <v>10</v>
      </c>
      <c r="Q163" s="16">
        <f t="shared" si="494"/>
        <v>-20</v>
      </c>
      <c r="R163" s="14"/>
      <c r="S163" s="15">
        <f t="shared" ref="S163:S164" si="519">R163*10</f>
        <v>0</v>
      </c>
      <c r="T163" s="14"/>
      <c r="U163" s="15">
        <f t="shared" ref="U163:U164" si="520">T163*-15</f>
        <v>0</v>
      </c>
      <c r="V163" s="16">
        <f t="shared" ref="V163:V164" si="521">IF(AND(R163=2),10,IF(R163=3,30,IF(R163=4,50,IF(R163=5,70,0))))</f>
        <v>0</v>
      </c>
      <c r="W163" s="17">
        <f t="shared" ref="W163:W164" si="522">IF(G163="x",H163+J163+L163+N163+O163+P163+Q163+S163+U163+V163,0)</f>
        <v>0</v>
      </c>
    </row>
    <row r="164" spans="1:23" ht="10.5" hidden="1" customHeight="1" x14ac:dyDescent="0.2">
      <c r="A164" s="11"/>
      <c r="B164" s="149">
        <f>COUNTA(Spieltag!K151:AA151)</f>
        <v>0</v>
      </c>
      <c r="C164" s="166">
        <f>Spieltag!A151</f>
        <v>43</v>
      </c>
      <c r="D164" s="21" t="str">
        <f>Spieltag!B151</f>
        <v>Ryan Johansson (A)</v>
      </c>
      <c r="E164" s="12" t="str">
        <f>Spieltag!C151</f>
        <v>Mittelfeld</v>
      </c>
      <c r="F164" s="13" t="s">
        <v>87</v>
      </c>
      <c r="G164" s="14"/>
      <c r="H164" s="15">
        <f t="shared" si="515"/>
        <v>0</v>
      </c>
      <c r="I164" s="14"/>
      <c r="J164" s="15">
        <f t="shared" si="516"/>
        <v>0</v>
      </c>
      <c r="K164" s="14"/>
      <c r="L164" s="15">
        <f t="shared" si="517"/>
        <v>0</v>
      </c>
      <c r="M164" s="14"/>
      <c r="N164" s="15">
        <f t="shared" si="518"/>
        <v>0</v>
      </c>
      <c r="O164" s="16">
        <f t="shared" si="467"/>
        <v>0</v>
      </c>
      <c r="P164" s="16">
        <f t="shared" si="468"/>
        <v>10</v>
      </c>
      <c r="Q164" s="16">
        <f t="shared" si="494"/>
        <v>-20</v>
      </c>
      <c r="R164" s="14"/>
      <c r="S164" s="15">
        <f t="shared" si="519"/>
        <v>0</v>
      </c>
      <c r="T164" s="14"/>
      <c r="U164" s="15">
        <f t="shared" si="520"/>
        <v>0</v>
      </c>
      <c r="V164" s="16">
        <f t="shared" si="521"/>
        <v>0</v>
      </c>
      <c r="W164" s="17">
        <f t="shared" si="522"/>
        <v>0</v>
      </c>
    </row>
    <row r="165" spans="1:23" ht="10.5" hidden="1" customHeight="1" x14ac:dyDescent="0.2">
      <c r="A165" s="11"/>
      <c r="B165" s="149">
        <f>COUNTA(Spieltag!K152:AA152)</f>
        <v>0</v>
      </c>
      <c r="C165" s="166">
        <f>Spieltag!A152</f>
        <v>54</v>
      </c>
      <c r="D165" s="21" t="str">
        <f>Spieltag!B152</f>
        <v>Mika Baur</v>
      </c>
      <c r="E165" s="12" t="str">
        <f>Spieltag!C152</f>
        <v>Mittelfeld</v>
      </c>
      <c r="F165" s="13" t="s">
        <v>87</v>
      </c>
      <c r="G165" s="14"/>
      <c r="H165" s="15">
        <f t="shared" si="499"/>
        <v>0</v>
      </c>
      <c r="I165" s="14"/>
      <c r="J165" s="15">
        <f t="shared" si="500"/>
        <v>0</v>
      </c>
      <c r="K165" s="14"/>
      <c r="L165" s="15">
        <f t="shared" si="501"/>
        <v>0</v>
      </c>
      <c r="M165" s="14"/>
      <c r="N165" s="15">
        <f t="shared" si="502"/>
        <v>0</v>
      </c>
      <c r="O165" s="16">
        <f t="shared" si="467"/>
        <v>0</v>
      </c>
      <c r="P165" s="16">
        <f t="shared" si="468"/>
        <v>10</v>
      </c>
      <c r="Q165" s="16">
        <f t="shared" si="494"/>
        <v>-20</v>
      </c>
      <c r="R165" s="14"/>
      <c r="S165" s="15">
        <f t="shared" si="503"/>
        <v>0</v>
      </c>
      <c r="T165" s="14"/>
      <c r="U165" s="15">
        <f t="shared" si="504"/>
        <v>0</v>
      </c>
      <c r="V165" s="16">
        <f t="shared" si="505"/>
        <v>0</v>
      </c>
      <c r="W165" s="17">
        <f t="shared" si="506"/>
        <v>0</v>
      </c>
    </row>
    <row r="166" spans="1:23" ht="10.5" hidden="1" customHeight="1" x14ac:dyDescent="0.2">
      <c r="A166" s="11"/>
      <c r="B166" s="149">
        <f>COUNTA(Spieltag!K153:AA153)</f>
        <v>0</v>
      </c>
      <c r="C166" s="166">
        <f>Spieltag!A153</f>
        <v>9</v>
      </c>
      <c r="D166" s="21" t="str">
        <f>Spieltag!B153</f>
        <v>Lucas Höler</v>
      </c>
      <c r="E166" s="12" t="str">
        <f>Spieltag!C153</f>
        <v>Sturm</v>
      </c>
      <c r="F166" s="13" t="s">
        <v>87</v>
      </c>
      <c r="G166" s="14"/>
      <c r="H166" s="15">
        <f>IF(G166="x",10,0)</f>
        <v>0</v>
      </c>
      <c r="I166" s="14"/>
      <c r="J166" s="15">
        <f>IF((I166="x"),-10,0)</f>
        <v>0</v>
      </c>
      <c r="K166" s="14"/>
      <c r="L166" s="15">
        <f>IF((K166="x"),-20,0)</f>
        <v>0</v>
      </c>
      <c r="M166" s="14"/>
      <c r="N166" s="15">
        <f>IF((M166="x"),-30,0)</f>
        <v>0</v>
      </c>
      <c r="O166" s="16">
        <f t="shared" si="467"/>
        <v>0</v>
      </c>
      <c r="P166" s="16">
        <f t="shared" si="468"/>
        <v>10</v>
      </c>
      <c r="Q166" s="16">
        <f>IF(($W$8&lt;&gt;0),$W$8*-10,5)</f>
        <v>-20</v>
      </c>
      <c r="R166" s="14"/>
      <c r="S166" s="15">
        <f>R166*10</f>
        <v>0</v>
      </c>
      <c r="T166" s="14"/>
      <c r="U166" s="15">
        <f>T166*-15</f>
        <v>0</v>
      </c>
      <c r="V166" s="16">
        <f>IF(AND(R166=2),10,IF(R166=3,30,IF(R166=4,50,IF(R166=5,70,0))))</f>
        <v>0</v>
      </c>
      <c r="W166" s="17">
        <f>IF(G166="x",H166+J166+L166+N166+O166+P166+Q166+S166+U166+V166,0)</f>
        <v>0</v>
      </c>
    </row>
    <row r="167" spans="1:23" ht="10.5" hidden="1" customHeight="1" x14ac:dyDescent="0.2">
      <c r="A167" s="11"/>
      <c r="B167" s="149">
        <f>COUNTA(Spieltag!K154:AA154)</f>
        <v>0</v>
      </c>
      <c r="C167" s="166">
        <f>Spieltag!A154</f>
        <v>20</v>
      </c>
      <c r="D167" s="21" t="str">
        <f>Spieltag!B154</f>
        <v>Junior Adamu (A)</v>
      </c>
      <c r="E167" s="12" t="str">
        <f>Spieltag!C154</f>
        <v>Sturm</v>
      </c>
      <c r="F167" s="13" t="s">
        <v>87</v>
      </c>
      <c r="G167" s="14"/>
      <c r="H167" s="15">
        <f t="shared" ref="H167:H170" si="523">IF(G167="x",10,0)</f>
        <v>0</v>
      </c>
      <c r="I167" s="14"/>
      <c r="J167" s="15">
        <f t="shared" ref="J167:J170" si="524">IF((I167="x"),-10,0)</f>
        <v>0</v>
      </c>
      <c r="K167" s="14"/>
      <c r="L167" s="15">
        <f t="shared" ref="L167:L170" si="525">IF((K167="x"),-20,0)</f>
        <v>0</v>
      </c>
      <c r="M167" s="14"/>
      <c r="N167" s="15">
        <f t="shared" ref="N167:N170" si="526">IF((M167="x"),-30,0)</f>
        <v>0</v>
      </c>
      <c r="O167" s="16">
        <f t="shared" si="467"/>
        <v>0</v>
      </c>
      <c r="P167" s="16">
        <f t="shared" si="468"/>
        <v>10</v>
      </c>
      <c r="Q167" s="16">
        <f t="shared" ref="Q167:Q170" si="527">IF(($W$8&lt;&gt;0),$W$8*-10,5)</f>
        <v>-20</v>
      </c>
      <c r="R167" s="14"/>
      <c r="S167" s="15">
        <f t="shared" ref="S167:S170" si="528">R167*10</f>
        <v>0</v>
      </c>
      <c r="T167" s="14"/>
      <c r="U167" s="15">
        <f t="shared" ref="U167:U170" si="529">T167*-15</f>
        <v>0</v>
      </c>
      <c r="V167" s="16">
        <f t="shared" ref="V167:V170" si="530">IF(AND(R167=2),10,IF(R167=3,30,IF(R167=4,50,IF(R167=5,70,0))))</f>
        <v>0</v>
      </c>
      <c r="W167" s="17">
        <f t="shared" ref="W167:W170" si="531">IF(G167="x",H167+J167+L167+N167+O167+P167+Q167+S167+U167+V167,0)</f>
        <v>0</v>
      </c>
    </row>
    <row r="168" spans="1:23" ht="10.5" hidden="1" customHeight="1" x14ac:dyDescent="0.2">
      <c r="A168" s="11"/>
      <c r="B168" s="149">
        <f>COUNTA(Spieltag!K155:AA155)</f>
        <v>0</v>
      </c>
      <c r="C168" s="166">
        <f>Spieltag!A155</f>
        <v>26</v>
      </c>
      <c r="D168" s="21" t="str">
        <f>Spieltag!B155</f>
        <v>Maximilian Philipp</v>
      </c>
      <c r="E168" s="12" t="str">
        <f>Spieltag!C155</f>
        <v>Sturm</v>
      </c>
      <c r="F168" s="13" t="s">
        <v>87</v>
      </c>
      <c r="G168" s="14"/>
      <c r="H168" s="15">
        <f t="shared" si="523"/>
        <v>0</v>
      </c>
      <c r="I168" s="14"/>
      <c r="J168" s="15">
        <f t="shared" si="524"/>
        <v>0</v>
      </c>
      <c r="K168" s="14"/>
      <c r="L168" s="15">
        <f t="shared" si="525"/>
        <v>0</v>
      </c>
      <c r="M168" s="14"/>
      <c r="N168" s="15">
        <f t="shared" si="526"/>
        <v>0</v>
      </c>
      <c r="O168" s="16">
        <f t="shared" si="467"/>
        <v>0</v>
      </c>
      <c r="P168" s="16">
        <f t="shared" si="468"/>
        <v>10</v>
      </c>
      <c r="Q168" s="16">
        <f t="shared" si="527"/>
        <v>-20</v>
      </c>
      <c r="R168" s="14"/>
      <c r="S168" s="15">
        <f t="shared" si="528"/>
        <v>0</v>
      </c>
      <c r="T168" s="14"/>
      <c r="U168" s="15">
        <f t="shared" si="529"/>
        <v>0</v>
      </c>
      <c r="V168" s="16">
        <f t="shared" si="530"/>
        <v>0</v>
      </c>
      <c r="W168" s="17">
        <f t="shared" si="531"/>
        <v>0</v>
      </c>
    </row>
    <row r="169" spans="1:23" ht="10.5" customHeight="1" x14ac:dyDescent="0.2">
      <c r="A169" s="11"/>
      <c r="B169" s="149">
        <f>COUNTA(Spieltag!K156:AA156)</f>
        <v>1</v>
      </c>
      <c r="C169" s="166">
        <f>Spieltag!A156</f>
        <v>38</v>
      </c>
      <c r="D169" s="21" t="str">
        <f>Spieltag!B156</f>
        <v>Michael Gregoritsch (A)</v>
      </c>
      <c r="E169" s="12" t="str">
        <f>Spieltag!C156</f>
        <v>Sturm</v>
      </c>
      <c r="F169" s="13" t="s">
        <v>87</v>
      </c>
      <c r="G169" s="14" t="s">
        <v>676</v>
      </c>
      <c r="H169" s="15">
        <f t="shared" ref="H169" si="532">IF(G169="x",10,0)</f>
        <v>10</v>
      </c>
      <c r="I169" s="14"/>
      <c r="J169" s="15">
        <f t="shared" ref="J169" si="533">IF((I169="x"),-10,0)</f>
        <v>0</v>
      </c>
      <c r="K169" s="14"/>
      <c r="L169" s="15">
        <f t="shared" ref="L169" si="534">IF((K169="x"),-20,0)</f>
        <v>0</v>
      </c>
      <c r="M169" s="14"/>
      <c r="N169" s="15">
        <f t="shared" ref="N169" si="535">IF((M169="x"),-30,0)</f>
        <v>0</v>
      </c>
      <c r="O169" s="16">
        <f t="shared" si="467"/>
        <v>0</v>
      </c>
      <c r="P169" s="16">
        <f t="shared" si="468"/>
        <v>10</v>
      </c>
      <c r="Q169" s="16">
        <f t="shared" si="527"/>
        <v>-20</v>
      </c>
      <c r="R169" s="14"/>
      <c r="S169" s="15">
        <f t="shared" ref="S169" si="536">R169*10</f>
        <v>0</v>
      </c>
      <c r="T169" s="14"/>
      <c r="U169" s="15">
        <f t="shared" ref="U169" si="537">T169*-15</f>
        <v>0</v>
      </c>
      <c r="V169" s="16">
        <f t="shared" ref="V169" si="538">IF(AND(R169=2),10,IF(R169=3,30,IF(R169=4,50,IF(R169=5,70,0))))</f>
        <v>0</v>
      </c>
      <c r="W169" s="17">
        <f t="shared" ref="W169" si="539">IF(G169="x",H169+J169+L169+N169+O169+P169+Q169+S169+U169+V169,0)</f>
        <v>0</v>
      </c>
    </row>
    <row r="170" spans="1:23" ht="10.5" hidden="1" customHeight="1" x14ac:dyDescent="0.2">
      <c r="A170" s="11"/>
      <c r="B170" s="149">
        <f>COUNTA(Spieltag!K157:AA157)</f>
        <v>0</v>
      </c>
      <c r="C170" s="166">
        <f>Spieltag!A157</f>
        <v>44</v>
      </c>
      <c r="D170" s="21" t="str">
        <f>Spieltag!B157</f>
        <v>Maximilian Breunig</v>
      </c>
      <c r="E170" s="12" t="str">
        <f>Spieltag!C157</f>
        <v>Sturm</v>
      </c>
      <c r="F170" s="13" t="s">
        <v>87</v>
      </c>
      <c r="G170" s="14"/>
      <c r="H170" s="15">
        <f t="shared" si="523"/>
        <v>0</v>
      </c>
      <c r="I170" s="14"/>
      <c r="J170" s="15">
        <f t="shared" si="524"/>
        <v>0</v>
      </c>
      <c r="K170" s="14"/>
      <c r="L170" s="15">
        <f t="shared" si="525"/>
        <v>0</v>
      </c>
      <c r="M170" s="14"/>
      <c r="N170" s="15">
        <f t="shared" si="526"/>
        <v>0</v>
      </c>
      <c r="O170" s="16">
        <f t="shared" si="467"/>
        <v>0</v>
      </c>
      <c r="P170" s="16">
        <f t="shared" si="468"/>
        <v>10</v>
      </c>
      <c r="Q170" s="16">
        <f t="shared" si="527"/>
        <v>-20</v>
      </c>
      <c r="R170" s="14"/>
      <c r="S170" s="15">
        <f t="shared" si="528"/>
        <v>0</v>
      </c>
      <c r="T170" s="14"/>
      <c r="U170" s="15">
        <f t="shared" si="529"/>
        <v>0</v>
      </c>
      <c r="V170" s="16">
        <f t="shared" si="530"/>
        <v>0</v>
      </c>
      <c r="W170" s="17">
        <f t="shared" si="531"/>
        <v>0</v>
      </c>
    </row>
    <row r="171" spans="1:23" s="144" customFormat="1" ht="17.25" thickBot="1" x14ac:dyDescent="0.25">
      <c r="A171" s="142"/>
      <c r="B171" s="143">
        <f>SUM(B172:B200)</f>
        <v>18</v>
      </c>
      <c r="C171" s="158"/>
      <c r="D171" s="221" t="s">
        <v>62</v>
      </c>
      <c r="E171" s="221"/>
      <c r="F171" s="221"/>
      <c r="G171" s="221"/>
      <c r="H171" s="221"/>
      <c r="I171" s="221"/>
      <c r="J171" s="221"/>
      <c r="K171" s="221"/>
      <c r="L171" s="221"/>
      <c r="M171" s="221"/>
      <c r="N171" s="221"/>
      <c r="O171" s="221"/>
      <c r="P171" s="221"/>
      <c r="Q171" s="221"/>
      <c r="R171" s="221"/>
      <c r="S171" s="221"/>
      <c r="T171" s="221"/>
      <c r="U171" s="221"/>
      <c r="V171" s="221"/>
      <c r="W171" s="222"/>
    </row>
    <row r="172" spans="1:23" ht="10.5" hidden="1" customHeight="1" x14ac:dyDescent="0.2">
      <c r="A172" s="11"/>
      <c r="B172" s="149">
        <f>COUNTA(Spieltag!K159:AA159)</f>
        <v>0</v>
      </c>
      <c r="C172" s="166">
        <f>Spieltag!A159</f>
        <v>1</v>
      </c>
      <c r="D172" s="21" t="str">
        <f>Spieltag!B159</f>
        <v>Lukáš Hrádecký (A)</v>
      </c>
      <c r="E172" s="12" t="str">
        <f>Spieltag!C159</f>
        <v>Torwart</v>
      </c>
      <c r="F172" s="13" t="s">
        <v>56</v>
      </c>
      <c r="G172" s="14"/>
      <c r="H172" s="15">
        <f t="shared" ref="H172" si="540">IF(G172="x",10,0)</f>
        <v>0</v>
      </c>
      <c r="I172" s="14"/>
      <c r="J172" s="15">
        <f t="shared" ref="J172" si="541">IF((I172="x"),-10,0)</f>
        <v>0</v>
      </c>
      <c r="K172" s="14"/>
      <c r="L172" s="15">
        <f t="shared" ref="L172" si="542">IF((K172="x"),-20,0)</f>
        <v>0</v>
      </c>
      <c r="M172" s="14"/>
      <c r="N172" s="15">
        <f t="shared" ref="N172" si="543">IF((M172="x"),-30,0)</f>
        <v>0</v>
      </c>
      <c r="O172" s="16">
        <f t="shared" ref="O172:O200" si="544">IF(AND($P$6&gt;$Q$6),20,IF($P$6=$Q$6,10,0))</f>
        <v>20</v>
      </c>
      <c r="P172" s="16">
        <f t="shared" ref="P172:P200" si="545">IF(($P$6&lt;&gt;0),$P$6*10,-5)</f>
        <v>20</v>
      </c>
      <c r="Q172" s="16">
        <f>IF(($Q$6&lt;&gt;0),$Q$6*-10,20)</f>
        <v>-10</v>
      </c>
      <c r="R172" s="14"/>
      <c r="S172" s="15">
        <f>R172*20</f>
        <v>0</v>
      </c>
      <c r="T172" s="14"/>
      <c r="U172" s="15">
        <f t="shared" ref="U172" si="546">T172*-15</f>
        <v>0</v>
      </c>
      <c r="V172" s="16">
        <f t="shared" ref="V172" si="547">IF(AND(R172=2),10,IF(R172=3,30,IF(R172=4,50,IF(R172=5,70,0))))</f>
        <v>0</v>
      </c>
      <c r="W172" s="17">
        <f t="shared" ref="W172" si="548">IF(G172="x",H172+J172+L172+N172+O172+P172+Q172+S172+U172+V172,0)</f>
        <v>0</v>
      </c>
    </row>
    <row r="173" spans="1:23" ht="10.5" hidden="1" customHeight="1" x14ac:dyDescent="0.2">
      <c r="A173" s="11"/>
      <c r="B173" s="149">
        <f>COUNTA(Spieltag!K160:AA160)</f>
        <v>0</v>
      </c>
      <c r="C173" s="166">
        <f>Spieltag!A160</f>
        <v>17</v>
      </c>
      <c r="D173" s="21" t="str">
        <f>Spieltag!B160</f>
        <v>Matěj Kovář (A)</v>
      </c>
      <c r="E173" s="12" t="str">
        <f>Spieltag!C160</f>
        <v>Torwart</v>
      </c>
      <c r="F173" s="13" t="s">
        <v>56</v>
      </c>
      <c r="G173" s="14"/>
      <c r="H173" s="15">
        <f t="shared" ref="H173" si="549">IF(G173="x",10,0)</f>
        <v>0</v>
      </c>
      <c r="I173" s="14"/>
      <c r="J173" s="15">
        <f t="shared" ref="J173" si="550">IF((I173="x"),-10,0)</f>
        <v>0</v>
      </c>
      <c r="K173" s="14"/>
      <c r="L173" s="15">
        <f t="shared" ref="L173" si="551">IF((K173="x"),-20,0)</f>
        <v>0</v>
      </c>
      <c r="M173" s="14"/>
      <c r="N173" s="15">
        <f t="shared" ref="N173" si="552">IF((M173="x"),-30,0)</f>
        <v>0</v>
      </c>
      <c r="O173" s="16">
        <f t="shared" si="544"/>
        <v>20</v>
      </c>
      <c r="P173" s="16">
        <f t="shared" si="545"/>
        <v>20</v>
      </c>
      <c r="Q173" s="16">
        <f t="shared" ref="Q173:Q174" si="553">IF(($Q$6&lt;&gt;0),$Q$6*-10,20)</f>
        <v>-10</v>
      </c>
      <c r="R173" s="14"/>
      <c r="S173" s="15">
        <f t="shared" ref="S173" si="554">R173*20</f>
        <v>0</v>
      </c>
      <c r="T173" s="14"/>
      <c r="U173" s="15">
        <f t="shared" ref="U173" si="555">T173*-15</f>
        <v>0</v>
      </c>
      <c r="V173" s="16">
        <f t="shared" ref="V173" si="556">IF(AND(R173=2),10,IF(R173=3,30,IF(R173=4,50,IF(R173=5,70,0))))</f>
        <v>0</v>
      </c>
      <c r="W173" s="17">
        <f t="shared" ref="W173" si="557">IF(G173="x",H173+J173+L173+N173+O173+P173+Q173+S173+U173+V173,0)</f>
        <v>0</v>
      </c>
    </row>
    <row r="174" spans="1:23" ht="10.5" hidden="1" customHeight="1" x14ac:dyDescent="0.2">
      <c r="A174" s="11"/>
      <c r="B174" s="149">
        <f>COUNTA(Spieltag!K161:AA161)</f>
        <v>0</v>
      </c>
      <c r="C174" s="166">
        <f>Spieltag!A161</f>
        <v>36</v>
      </c>
      <c r="D174" s="21" t="str">
        <f>Spieltag!B161</f>
        <v>Niklas Lomb</v>
      </c>
      <c r="E174" s="12" t="str">
        <f>Spieltag!C161</f>
        <v>Torwart</v>
      </c>
      <c r="F174" s="13" t="s">
        <v>56</v>
      </c>
      <c r="G174" s="14"/>
      <c r="H174" s="15">
        <f t="shared" ref="H174:H175" si="558">IF(G174="x",10,0)</f>
        <v>0</v>
      </c>
      <c r="I174" s="14"/>
      <c r="J174" s="15">
        <f t="shared" ref="J174:J175" si="559">IF((I174="x"),-10,0)</f>
        <v>0</v>
      </c>
      <c r="K174" s="14"/>
      <c r="L174" s="15">
        <f t="shared" ref="L174:L175" si="560">IF((K174="x"),-20,0)</f>
        <v>0</v>
      </c>
      <c r="M174" s="14"/>
      <c r="N174" s="15">
        <f t="shared" ref="N174:N175" si="561">IF((M174="x"),-30,0)</f>
        <v>0</v>
      </c>
      <c r="O174" s="16">
        <f t="shared" si="544"/>
        <v>20</v>
      </c>
      <c r="P174" s="16">
        <f t="shared" si="545"/>
        <v>20</v>
      </c>
      <c r="Q174" s="16">
        <f t="shared" si="553"/>
        <v>-10</v>
      </c>
      <c r="R174" s="14"/>
      <c r="S174" s="15">
        <f t="shared" ref="S174" si="562">R174*20</f>
        <v>0</v>
      </c>
      <c r="T174" s="14"/>
      <c r="U174" s="15">
        <f t="shared" ref="U174:U175" si="563">T174*-15</f>
        <v>0</v>
      </c>
      <c r="V174" s="16">
        <f t="shared" ref="V174:V175" si="564">IF(AND(R174=2),10,IF(R174=3,30,IF(R174=4,50,IF(R174=5,70,0))))</f>
        <v>0</v>
      </c>
      <c r="W174" s="17">
        <f t="shared" ref="W174:W175" si="565">IF(G174="x",H174+J174+L174+N174+O174+P174+Q174+S174+U174+V174,0)</f>
        <v>0</v>
      </c>
    </row>
    <row r="175" spans="1:23" ht="10.5" hidden="1" customHeight="1" x14ac:dyDescent="0.2">
      <c r="A175" s="11"/>
      <c r="B175" s="149">
        <f>COUNTA(Spieltag!K162:AA162)</f>
        <v>0</v>
      </c>
      <c r="C175" s="166">
        <f>Spieltag!A162</f>
        <v>2</v>
      </c>
      <c r="D175" s="21" t="str">
        <f>Spieltag!B162</f>
        <v>Josip Stanišić</v>
      </c>
      <c r="E175" s="12" t="str">
        <f>Spieltag!C162</f>
        <v>Abwehr</v>
      </c>
      <c r="F175" s="13" t="s">
        <v>56</v>
      </c>
      <c r="G175" s="14"/>
      <c r="H175" s="15">
        <f t="shared" si="558"/>
        <v>0</v>
      </c>
      <c r="I175" s="14"/>
      <c r="J175" s="15">
        <f t="shared" si="559"/>
        <v>0</v>
      </c>
      <c r="K175" s="14"/>
      <c r="L175" s="15">
        <f t="shared" si="560"/>
        <v>0</v>
      </c>
      <c r="M175" s="14"/>
      <c r="N175" s="15">
        <f t="shared" si="561"/>
        <v>0</v>
      </c>
      <c r="O175" s="16">
        <f t="shared" si="544"/>
        <v>20</v>
      </c>
      <c r="P175" s="16">
        <f t="shared" si="545"/>
        <v>20</v>
      </c>
      <c r="Q175" s="16">
        <f t="shared" ref="Q175:Q185" si="566">IF(($Q$6&lt;&gt;0),$Q$6*-10,15)</f>
        <v>-10</v>
      </c>
      <c r="R175" s="14"/>
      <c r="S175" s="15">
        <f t="shared" ref="S175" si="567">R175*15</f>
        <v>0</v>
      </c>
      <c r="T175" s="14"/>
      <c r="U175" s="15">
        <f t="shared" si="563"/>
        <v>0</v>
      </c>
      <c r="V175" s="16">
        <f t="shared" si="564"/>
        <v>0</v>
      </c>
      <c r="W175" s="17">
        <f t="shared" si="565"/>
        <v>0</v>
      </c>
    </row>
    <row r="176" spans="1:23" ht="10.5" customHeight="1" x14ac:dyDescent="0.2">
      <c r="A176" s="11"/>
      <c r="B176" s="149">
        <f>COUNTA(Spieltag!K163:AA163)</f>
        <v>1</v>
      </c>
      <c r="C176" s="166">
        <f>Spieltag!A163</f>
        <v>3</v>
      </c>
      <c r="D176" s="21" t="str">
        <f>Spieltag!B163</f>
        <v>Piero Hincapie (A)</v>
      </c>
      <c r="E176" s="12" t="str">
        <f>Spieltag!C163</f>
        <v>Abwehr</v>
      </c>
      <c r="F176" s="13" t="s">
        <v>56</v>
      </c>
      <c r="G176" s="14" t="s">
        <v>676</v>
      </c>
      <c r="H176" s="15">
        <f t="shared" ref="H176" si="568">IF(G176="x",10,0)</f>
        <v>10</v>
      </c>
      <c r="I176" s="14"/>
      <c r="J176" s="15">
        <f t="shared" ref="J176" si="569">IF((I176="x"),-10,0)</f>
        <v>0</v>
      </c>
      <c r="K176" s="14"/>
      <c r="L176" s="15">
        <f t="shared" ref="L176" si="570">IF((K176="x"),-20,0)</f>
        <v>0</v>
      </c>
      <c r="M176" s="14"/>
      <c r="N176" s="15">
        <f t="shared" ref="N176" si="571">IF((M176="x"),-30,0)</f>
        <v>0</v>
      </c>
      <c r="O176" s="16">
        <f t="shared" si="544"/>
        <v>20</v>
      </c>
      <c r="P176" s="16">
        <f t="shared" si="545"/>
        <v>20</v>
      </c>
      <c r="Q176" s="16">
        <f t="shared" si="566"/>
        <v>-10</v>
      </c>
      <c r="R176" s="14"/>
      <c r="S176" s="15">
        <f t="shared" ref="S176" si="572">R176*15</f>
        <v>0</v>
      </c>
      <c r="T176" s="14"/>
      <c r="U176" s="15">
        <f t="shared" ref="U176" si="573">T176*-15</f>
        <v>0</v>
      </c>
      <c r="V176" s="16">
        <f t="shared" ref="V176" si="574">IF(AND(R176=2),10,IF(R176=3,30,IF(R176=4,50,IF(R176=5,70,0))))</f>
        <v>0</v>
      </c>
      <c r="W176" s="17">
        <f t="shared" ref="W176" si="575">IF(G176="x",H176+J176+L176+N176+O176+P176+Q176+S176+U176+V176,0)</f>
        <v>40</v>
      </c>
    </row>
    <row r="177" spans="1:23" ht="10.5" customHeight="1" x14ac:dyDescent="0.2">
      <c r="A177" s="11"/>
      <c r="B177" s="149">
        <f>COUNTA(Spieltag!K164:AA164)</f>
        <v>3</v>
      </c>
      <c r="C177" s="166">
        <f>Spieltag!A164</f>
        <v>4</v>
      </c>
      <c r="D177" s="21" t="str">
        <f>Spieltag!B164</f>
        <v>Jonathan Tah</v>
      </c>
      <c r="E177" s="12" t="str">
        <f>Spieltag!C164</f>
        <v>Abwehr</v>
      </c>
      <c r="F177" s="13" t="s">
        <v>56</v>
      </c>
      <c r="G177" s="14" t="s">
        <v>676</v>
      </c>
      <c r="H177" s="15">
        <f t="shared" ref="H177:H186" si="576">IF(G177="x",10,0)</f>
        <v>10</v>
      </c>
      <c r="I177" s="14"/>
      <c r="J177" s="15">
        <f t="shared" ref="J177:J186" si="577">IF((I177="x"),-10,0)</f>
        <v>0</v>
      </c>
      <c r="K177" s="14"/>
      <c r="L177" s="15">
        <f t="shared" ref="L177:L186" si="578">IF((K177="x"),-20,0)</f>
        <v>0</v>
      </c>
      <c r="M177" s="14"/>
      <c r="N177" s="15">
        <f t="shared" ref="N177:N186" si="579">IF((M177="x"),-30,0)</f>
        <v>0</v>
      </c>
      <c r="O177" s="16">
        <f t="shared" si="544"/>
        <v>20</v>
      </c>
      <c r="P177" s="16">
        <f t="shared" si="545"/>
        <v>20</v>
      </c>
      <c r="Q177" s="16">
        <f t="shared" si="566"/>
        <v>-10</v>
      </c>
      <c r="R177" s="14"/>
      <c r="S177" s="15">
        <f t="shared" ref="S177:S185" si="580">R177*15</f>
        <v>0</v>
      </c>
      <c r="T177" s="14"/>
      <c r="U177" s="15">
        <f t="shared" ref="U177:U186" si="581">T177*-15</f>
        <v>0</v>
      </c>
      <c r="V177" s="16">
        <f t="shared" ref="V177:V186" si="582">IF(AND(R177=2),10,IF(R177=3,30,IF(R177=4,50,IF(R177=5,70,0))))</f>
        <v>0</v>
      </c>
      <c r="W177" s="17">
        <f t="shared" ref="W177:W186" si="583">IF(G177="x",H177+J177+L177+N177+O177+P177+Q177+S177+U177+V177,0)</f>
        <v>40</v>
      </c>
    </row>
    <row r="178" spans="1:23" ht="10.5" hidden="1" customHeight="1" x14ac:dyDescent="0.2">
      <c r="A178" s="11"/>
      <c r="B178" s="149">
        <f>COUNTA(Spieltag!K165:AA165)</f>
        <v>0</v>
      </c>
      <c r="C178" s="166">
        <f>Spieltag!A165</f>
        <v>6</v>
      </c>
      <c r="D178" s="21" t="str">
        <f>Spieltag!B165</f>
        <v>Odilou Kossounou (A)</v>
      </c>
      <c r="E178" s="12" t="str">
        <f>Spieltag!C165</f>
        <v>Abwehr</v>
      </c>
      <c r="F178" s="13" t="s">
        <v>56</v>
      </c>
      <c r="G178" s="14"/>
      <c r="H178" s="15">
        <f t="shared" si="576"/>
        <v>0</v>
      </c>
      <c r="I178" s="14"/>
      <c r="J178" s="15">
        <f t="shared" si="577"/>
        <v>0</v>
      </c>
      <c r="K178" s="14"/>
      <c r="L178" s="15">
        <f t="shared" si="578"/>
        <v>0</v>
      </c>
      <c r="M178" s="14"/>
      <c r="N178" s="15">
        <f t="shared" si="579"/>
        <v>0</v>
      </c>
      <c r="O178" s="16">
        <f t="shared" si="544"/>
        <v>20</v>
      </c>
      <c r="P178" s="16">
        <f t="shared" si="545"/>
        <v>20</v>
      </c>
      <c r="Q178" s="16">
        <f t="shared" si="566"/>
        <v>-10</v>
      </c>
      <c r="R178" s="14"/>
      <c r="S178" s="15">
        <f t="shared" si="580"/>
        <v>0</v>
      </c>
      <c r="T178" s="14"/>
      <c r="U178" s="15">
        <f t="shared" si="581"/>
        <v>0</v>
      </c>
      <c r="V178" s="16">
        <f t="shared" si="582"/>
        <v>0</v>
      </c>
      <c r="W178" s="17">
        <f t="shared" si="583"/>
        <v>0</v>
      </c>
    </row>
    <row r="179" spans="1:23" ht="10.5" hidden="1" customHeight="1" x14ac:dyDescent="0.2">
      <c r="A179" s="11"/>
      <c r="B179" s="149">
        <f>COUNTA(Spieltag!K166:AA166)</f>
        <v>0</v>
      </c>
      <c r="C179" s="166">
        <f>Spieltag!A166</f>
        <v>12</v>
      </c>
      <c r="D179" s="21" t="str">
        <f>Spieltag!B166</f>
        <v>Edmond Tapsoba (A)</v>
      </c>
      <c r="E179" s="12" t="str">
        <f>Spieltag!C166</f>
        <v>Abwehr</v>
      </c>
      <c r="F179" s="13" t="s">
        <v>56</v>
      </c>
      <c r="G179" s="14"/>
      <c r="H179" s="15">
        <f t="shared" si="576"/>
        <v>0</v>
      </c>
      <c r="I179" s="14"/>
      <c r="J179" s="15">
        <f t="shared" si="577"/>
        <v>0</v>
      </c>
      <c r="K179" s="14"/>
      <c r="L179" s="15">
        <f t="shared" si="578"/>
        <v>0</v>
      </c>
      <c r="M179" s="14"/>
      <c r="N179" s="15">
        <f t="shared" si="579"/>
        <v>0</v>
      </c>
      <c r="O179" s="16">
        <f t="shared" si="544"/>
        <v>20</v>
      </c>
      <c r="P179" s="16">
        <f t="shared" si="545"/>
        <v>20</v>
      </c>
      <c r="Q179" s="16">
        <f t="shared" si="566"/>
        <v>-10</v>
      </c>
      <c r="R179" s="14"/>
      <c r="S179" s="15">
        <f t="shared" si="580"/>
        <v>0</v>
      </c>
      <c r="T179" s="14"/>
      <c r="U179" s="15">
        <f t="shared" si="581"/>
        <v>0</v>
      </c>
      <c r="V179" s="16">
        <f t="shared" si="582"/>
        <v>0</v>
      </c>
      <c r="W179" s="17">
        <f t="shared" si="583"/>
        <v>0</v>
      </c>
    </row>
    <row r="180" spans="1:23" ht="10.5" customHeight="1" x14ac:dyDescent="0.2">
      <c r="A180" s="11"/>
      <c r="B180" s="149">
        <f>COUNTA(Spieltag!K167:AA167)</f>
        <v>1</v>
      </c>
      <c r="C180" s="166">
        <f>Spieltag!A167</f>
        <v>13</v>
      </c>
      <c r="D180" s="21" t="str">
        <f>Spieltag!B167</f>
        <v>Arthur (A)</v>
      </c>
      <c r="E180" s="12" t="str">
        <f>Spieltag!C167</f>
        <v>Abwehr</v>
      </c>
      <c r="F180" s="13" t="s">
        <v>56</v>
      </c>
      <c r="G180" s="14" t="s">
        <v>59</v>
      </c>
      <c r="H180" s="15">
        <f t="shared" si="576"/>
        <v>0</v>
      </c>
      <c r="I180" s="14"/>
      <c r="J180" s="15">
        <f t="shared" si="577"/>
        <v>0</v>
      </c>
      <c r="K180" s="14"/>
      <c r="L180" s="15">
        <f t="shared" si="578"/>
        <v>0</v>
      </c>
      <c r="M180" s="14"/>
      <c r="N180" s="15">
        <f t="shared" si="579"/>
        <v>0</v>
      </c>
      <c r="O180" s="16">
        <f t="shared" si="544"/>
        <v>20</v>
      </c>
      <c r="P180" s="16">
        <f t="shared" si="545"/>
        <v>20</v>
      </c>
      <c r="Q180" s="16">
        <f t="shared" si="566"/>
        <v>-10</v>
      </c>
      <c r="R180" s="14"/>
      <c r="S180" s="15">
        <f t="shared" si="580"/>
        <v>0</v>
      </c>
      <c r="T180" s="14"/>
      <c r="U180" s="15">
        <f t="shared" si="581"/>
        <v>0</v>
      </c>
      <c r="V180" s="16">
        <f t="shared" si="582"/>
        <v>0</v>
      </c>
      <c r="W180" s="17">
        <f t="shared" si="583"/>
        <v>0</v>
      </c>
    </row>
    <row r="181" spans="1:23" ht="10.5" hidden="1" customHeight="1" x14ac:dyDescent="0.2">
      <c r="A181" s="11"/>
      <c r="B181" s="149">
        <f>COUNTA(Spieltag!K168:AA168)</f>
        <v>0</v>
      </c>
      <c r="C181" s="166">
        <f>Spieltag!A168</f>
        <v>20</v>
      </c>
      <c r="D181" s="21" t="str">
        <f>Spieltag!B168</f>
        <v>Alejandro Grimaldo (A)</v>
      </c>
      <c r="E181" s="12" t="str">
        <f>Spieltag!C168</f>
        <v>Abwehr</v>
      </c>
      <c r="F181" s="13" t="s">
        <v>56</v>
      </c>
      <c r="G181" s="14"/>
      <c r="H181" s="15">
        <f t="shared" si="576"/>
        <v>0</v>
      </c>
      <c r="I181" s="14"/>
      <c r="J181" s="15">
        <f t="shared" si="577"/>
        <v>0</v>
      </c>
      <c r="K181" s="14"/>
      <c r="L181" s="15">
        <f t="shared" si="578"/>
        <v>0</v>
      </c>
      <c r="M181" s="14"/>
      <c r="N181" s="15">
        <f t="shared" si="579"/>
        <v>0</v>
      </c>
      <c r="O181" s="16">
        <f t="shared" si="544"/>
        <v>20</v>
      </c>
      <c r="P181" s="16">
        <f t="shared" si="545"/>
        <v>20</v>
      </c>
      <c r="Q181" s="16">
        <f t="shared" si="566"/>
        <v>-10</v>
      </c>
      <c r="R181" s="14"/>
      <c r="S181" s="15">
        <f t="shared" si="580"/>
        <v>0</v>
      </c>
      <c r="T181" s="14"/>
      <c r="U181" s="15">
        <f t="shared" si="581"/>
        <v>0</v>
      </c>
      <c r="V181" s="16">
        <f t="shared" si="582"/>
        <v>0</v>
      </c>
      <c r="W181" s="17">
        <f t="shared" si="583"/>
        <v>0</v>
      </c>
    </row>
    <row r="182" spans="1:23" ht="10.5" hidden="1" customHeight="1" x14ac:dyDescent="0.2">
      <c r="A182" s="11"/>
      <c r="B182" s="149">
        <f>COUNTA(Spieltag!K169:AA169)</f>
        <v>0</v>
      </c>
      <c r="C182" s="166">
        <f>Spieltag!A169</f>
        <v>24</v>
      </c>
      <c r="D182" s="21" t="str">
        <f>Spieltag!B169</f>
        <v>Timothy Fosu-Mensah (A)</v>
      </c>
      <c r="E182" s="12" t="str">
        <f>Spieltag!C169</f>
        <v>Abwehr</v>
      </c>
      <c r="F182" s="13" t="s">
        <v>56</v>
      </c>
      <c r="G182" s="14"/>
      <c r="H182" s="15">
        <f t="shared" si="576"/>
        <v>0</v>
      </c>
      <c r="I182" s="14"/>
      <c r="J182" s="15">
        <f t="shared" si="577"/>
        <v>0</v>
      </c>
      <c r="K182" s="14"/>
      <c r="L182" s="15">
        <f t="shared" si="578"/>
        <v>0</v>
      </c>
      <c r="M182" s="14"/>
      <c r="N182" s="15">
        <f t="shared" si="579"/>
        <v>0</v>
      </c>
      <c r="O182" s="16">
        <f t="shared" si="544"/>
        <v>20</v>
      </c>
      <c r="P182" s="16">
        <f t="shared" si="545"/>
        <v>20</v>
      </c>
      <c r="Q182" s="16">
        <f t="shared" si="566"/>
        <v>-10</v>
      </c>
      <c r="R182" s="14"/>
      <c r="S182" s="15">
        <f t="shared" si="580"/>
        <v>0</v>
      </c>
      <c r="T182" s="14"/>
      <c r="U182" s="15">
        <f t="shared" si="581"/>
        <v>0</v>
      </c>
      <c r="V182" s="16">
        <f t="shared" si="582"/>
        <v>0</v>
      </c>
      <c r="W182" s="17">
        <f t="shared" si="583"/>
        <v>0</v>
      </c>
    </row>
    <row r="183" spans="1:23" ht="10.5" hidden="1" customHeight="1" x14ac:dyDescent="0.2">
      <c r="A183" s="11"/>
      <c r="B183" s="149">
        <f>COUNTA(Spieltag!K170:AA170)</f>
        <v>0</v>
      </c>
      <c r="C183" s="166">
        <f>Spieltag!A170</f>
        <v>30</v>
      </c>
      <c r="D183" s="21" t="str">
        <f>Spieltag!B170</f>
        <v>Jeremie Frimpong (A)</v>
      </c>
      <c r="E183" s="12" t="str">
        <f>Spieltag!C170</f>
        <v>Abwehr</v>
      </c>
      <c r="F183" s="13" t="s">
        <v>56</v>
      </c>
      <c r="G183" s="14"/>
      <c r="H183" s="15">
        <f t="shared" si="576"/>
        <v>0</v>
      </c>
      <c r="I183" s="14"/>
      <c r="J183" s="15">
        <f t="shared" si="577"/>
        <v>0</v>
      </c>
      <c r="K183" s="14"/>
      <c r="L183" s="15">
        <f t="shared" si="578"/>
        <v>0</v>
      </c>
      <c r="M183" s="14"/>
      <c r="N183" s="15">
        <f t="shared" si="579"/>
        <v>0</v>
      </c>
      <c r="O183" s="16">
        <f t="shared" si="544"/>
        <v>20</v>
      </c>
      <c r="P183" s="16">
        <f t="shared" si="545"/>
        <v>20</v>
      </c>
      <c r="Q183" s="16">
        <f t="shared" si="566"/>
        <v>-10</v>
      </c>
      <c r="R183" s="14"/>
      <c r="S183" s="15">
        <f t="shared" si="580"/>
        <v>0</v>
      </c>
      <c r="T183" s="14"/>
      <c r="U183" s="15">
        <f t="shared" si="581"/>
        <v>0</v>
      </c>
      <c r="V183" s="16">
        <f t="shared" si="582"/>
        <v>0</v>
      </c>
      <c r="W183" s="17">
        <f t="shared" si="583"/>
        <v>0</v>
      </c>
    </row>
    <row r="184" spans="1:23" ht="10.5" hidden="1" customHeight="1" x14ac:dyDescent="0.2">
      <c r="A184" s="11"/>
      <c r="B184" s="149">
        <f>COUNTA(Spieltag!K171:AA171)</f>
        <v>0</v>
      </c>
      <c r="C184" s="166">
        <f>Spieltag!A171</f>
        <v>31</v>
      </c>
      <c r="D184" s="21" t="str">
        <f>Spieltag!B171</f>
        <v>Madi Monamay (A)</v>
      </c>
      <c r="E184" s="12" t="str">
        <f>Spieltag!C171</f>
        <v>Abwehr</v>
      </c>
      <c r="F184" s="13" t="s">
        <v>56</v>
      </c>
      <c r="G184" s="14"/>
      <c r="H184" s="15">
        <f t="shared" ref="H184" si="584">IF(G184="x",10,0)</f>
        <v>0</v>
      </c>
      <c r="I184" s="14"/>
      <c r="J184" s="15">
        <f t="shared" ref="J184" si="585">IF((I184="x"),-10,0)</f>
        <v>0</v>
      </c>
      <c r="K184" s="14"/>
      <c r="L184" s="15">
        <f t="shared" ref="L184" si="586">IF((K184="x"),-20,0)</f>
        <v>0</v>
      </c>
      <c r="M184" s="14"/>
      <c r="N184" s="15">
        <f t="shared" ref="N184" si="587">IF((M184="x"),-30,0)</f>
        <v>0</v>
      </c>
      <c r="O184" s="16">
        <f t="shared" si="544"/>
        <v>20</v>
      </c>
      <c r="P184" s="16">
        <f t="shared" si="545"/>
        <v>20</v>
      </c>
      <c r="Q184" s="16">
        <f t="shared" si="566"/>
        <v>-10</v>
      </c>
      <c r="R184" s="14"/>
      <c r="S184" s="15">
        <f t="shared" ref="S184" si="588">R184*15</f>
        <v>0</v>
      </c>
      <c r="T184" s="14"/>
      <c r="U184" s="15">
        <f t="shared" ref="U184" si="589">T184*-15</f>
        <v>0</v>
      </c>
      <c r="V184" s="16">
        <f t="shared" ref="V184" si="590">IF(AND(R184=2),10,IF(R184=3,30,IF(R184=4,50,IF(R184=5,70,0))))</f>
        <v>0</v>
      </c>
      <c r="W184" s="17">
        <f t="shared" ref="W184" si="591">IF(G184="x",H184+J184+L184+N184+O184+P184+Q184+S184+U184+V184,0)</f>
        <v>0</v>
      </c>
    </row>
    <row r="185" spans="1:23" ht="10.5" hidden="1" customHeight="1" x14ac:dyDescent="0.2">
      <c r="A185" s="11"/>
      <c r="B185" s="149">
        <f>COUNTA(Spieltag!K172:AA172)</f>
        <v>0</v>
      </c>
      <c r="C185" s="166">
        <f>Spieltag!A172</f>
        <v>48</v>
      </c>
      <c r="D185" s="21" t="str">
        <f>Spieltag!B172</f>
        <v>Reno Münz</v>
      </c>
      <c r="E185" s="12" t="str">
        <f>Spieltag!C172</f>
        <v>Abwehr</v>
      </c>
      <c r="F185" s="13" t="s">
        <v>56</v>
      </c>
      <c r="G185" s="14"/>
      <c r="H185" s="15">
        <f t="shared" si="576"/>
        <v>0</v>
      </c>
      <c r="I185" s="14"/>
      <c r="J185" s="15">
        <f t="shared" si="577"/>
        <v>0</v>
      </c>
      <c r="K185" s="14"/>
      <c r="L185" s="15">
        <f t="shared" si="578"/>
        <v>0</v>
      </c>
      <c r="M185" s="14"/>
      <c r="N185" s="15">
        <f t="shared" si="579"/>
        <v>0</v>
      </c>
      <c r="O185" s="16">
        <f t="shared" si="544"/>
        <v>20</v>
      </c>
      <c r="P185" s="16">
        <f t="shared" si="545"/>
        <v>20</v>
      </c>
      <c r="Q185" s="16">
        <f t="shared" si="566"/>
        <v>-10</v>
      </c>
      <c r="R185" s="14"/>
      <c r="S185" s="15">
        <f t="shared" si="580"/>
        <v>0</v>
      </c>
      <c r="T185" s="14"/>
      <c r="U185" s="15">
        <f t="shared" si="581"/>
        <v>0</v>
      </c>
      <c r="V185" s="16">
        <f t="shared" si="582"/>
        <v>0</v>
      </c>
      <c r="W185" s="17">
        <f t="shared" si="583"/>
        <v>0</v>
      </c>
    </row>
    <row r="186" spans="1:23" ht="10.5" customHeight="1" x14ac:dyDescent="0.2">
      <c r="A186" s="11"/>
      <c r="B186" s="149">
        <f>COUNTA(Spieltag!K173:AA173)</f>
        <v>6</v>
      </c>
      <c r="C186" s="166">
        <f>Spieltag!A173</f>
        <v>7</v>
      </c>
      <c r="D186" s="21" t="str">
        <f>Spieltag!B173</f>
        <v>Jonas Hofmann</v>
      </c>
      <c r="E186" s="12" t="str">
        <f>Spieltag!C173</f>
        <v>Mittelfeld</v>
      </c>
      <c r="F186" s="13" t="s">
        <v>56</v>
      </c>
      <c r="G186" s="14" t="s">
        <v>676</v>
      </c>
      <c r="H186" s="15">
        <f t="shared" si="576"/>
        <v>10</v>
      </c>
      <c r="I186" s="14"/>
      <c r="J186" s="15">
        <f t="shared" si="577"/>
        <v>0</v>
      </c>
      <c r="K186" s="14"/>
      <c r="L186" s="15">
        <f t="shared" si="578"/>
        <v>0</v>
      </c>
      <c r="M186" s="14"/>
      <c r="N186" s="15">
        <f t="shared" si="579"/>
        <v>0</v>
      </c>
      <c r="O186" s="16">
        <f t="shared" si="544"/>
        <v>20</v>
      </c>
      <c r="P186" s="16">
        <f t="shared" si="545"/>
        <v>20</v>
      </c>
      <c r="Q186" s="16">
        <f t="shared" ref="Q186:Q193" si="592">IF(($Q$6&lt;&gt;0),$Q$6*-10,10)</f>
        <v>-10</v>
      </c>
      <c r="R186" s="14"/>
      <c r="S186" s="15">
        <f t="shared" ref="S186:S194" si="593">R186*10</f>
        <v>0</v>
      </c>
      <c r="T186" s="14"/>
      <c r="U186" s="15">
        <f t="shared" si="581"/>
        <v>0</v>
      </c>
      <c r="V186" s="16">
        <f t="shared" si="582"/>
        <v>0</v>
      </c>
      <c r="W186" s="17">
        <f t="shared" si="583"/>
        <v>40</v>
      </c>
    </row>
    <row r="187" spans="1:23" ht="10.5" hidden="1" customHeight="1" x14ac:dyDescent="0.2">
      <c r="A187" s="11"/>
      <c r="B187" s="149">
        <f>COUNTA(Spieltag!K174:AA174)</f>
        <v>0</v>
      </c>
      <c r="C187" s="166">
        <f>Spieltag!A174</f>
        <v>8</v>
      </c>
      <c r="D187" s="21" t="str">
        <f>Spieltag!B174</f>
        <v>Robert Andrich</v>
      </c>
      <c r="E187" s="12" t="str">
        <f>Spieltag!C174</f>
        <v>Mittelfeld</v>
      </c>
      <c r="F187" s="13" t="s">
        <v>56</v>
      </c>
      <c r="G187" s="14"/>
      <c r="H187" s="15">
        <f t="shared" ref="H187:H194" si="594">IF(G187="x",10,0)</f>
        <v>0</v>
      </c>
      <c r="I187" s="14"/>
      <c r="J187" s="15">
        <f t="shared" ref="J187:J194" si="595">IF((I187="x"),-10,0)</f>
        <v>0</v>
      </c>
      <c r="K187" s="14"/>
      <c r="L187" s="15">
        <f t="shared" ref="L187:L194" si="596">IF((K187="x"),-20,0)</f>
        <v>0</v>
      </c>
      <c r="M187" s="14"/>
      <c r="N187" s="15">
        <f t="shared" ref="N187:N194" si="597">IF((M187="x"),-30,0)</f>
        <v>0</v>
      </c>
      <c r="O187" s="16">
        <f t="shared" si="544"/>
        <v>20</v>
      </c>
      <c r="P187" s="16">
        <f t="shared" si="545"/>
        <v>20</v>
      </c>
      <c r="Q187" s="16">
        <f t="shared" si="592"/>
        <v>-10</v>
      </c>
      <c r="R187" s="14"/>
      <c r="S187" s="15">
        <f t="shared" si="593"/>
        <v>0</v>
      </c>
      <c r="T187" s="14"/>
      <c r="U187" s="15">
        <f t="shared" ref="U187:U194" si="598">T187*-15</f>
        <v>0</v>
      </c>
      <c r="V187" s="16">
        <f t="shared" ref="V187:V194" si="599">IF(AND(R187=2),10,IF(R187=3,30,IF(R187=4,50,IF(R187=5,70,0))))</f>
        <v>0</v>
      </c>
      <c r="W187" s="17">
        <f t="shared" ref="W187:W194" si="600">IF(G187="x",H187+J187+L187+N187+O187+P187+Q187+S187+U187+V187,0)</f>
        <v>0</v>
      </c>
    </row>
    <row r="188" spans="1:23" ht="10.5" customHeight="1" x14ac:dyDescent="0.2">
      <c r="A188" s="11"/>
      <c r="B188" s="149">
        <f>COUNTA(Spieltag!K175:AA175)</f>
        <v>1</v>
      </c>
      <c r="C188" s="166">
        <f>Spieltag!A175</f>
        <v>10</v>
      </c>
      <c r="D188" s="21" t="str">
        <f>Spieltag!B175</f>
        <v>Florian Wirtz</v>
      </c>
      <c r="E188" s="12" t="str">
        <f>Spieltag!C175</f>
        <v>Mittelfeld</v>
      </c>
      <c r="F188" s="13" t="s">
        <v>56</v>
      </c>
      <c r="G188" s="14" t="s">
        <v>676</v>
      </c>
      <c r="H188" s="15">
        <f>IF(G188="x",10,0)</f>
        <v>10</v>
      </c>
      <c r="I188" s="14"/>
      <c r="J188" s="15">
        <f>IF((I188="x"),-10,0)</f>
        <v>0</v>
      </c>
      <c r="K188" s="14"/>
      <c r="L188" s="15">
        <f>IF((K188="x"),-20,0)</f>
        <v>0</v>
      </c>
      <c r="M188" s="14"/>
      <c r="N188" s="15">
        <f>IF((M188="x"),-30,0)</f>
        <v>0</v>
      </c>
      <c r="O188" s="16">
        <f t="shared" si="544"/>
        <v>20</v>
      </c>
      <c r="P188" s="16">
        <f t="shared" si="545"/>
        <v>20</v>
      </c>
      <c r="Q188" s="16">
        <f t="shared" si="592"/>
        <v>-10</v>
      </c>
      <c r="R188" s="14"/>
      <c r="S188" s="15">
        <f>R188*10</f>
        <v>0</v>
      </c>
      <c r="T188" s="14"/>
      <c r="U188" s="15">
        <f>T188*-15</f>
        <v>0</v>
      </c>
      <c r="V188" s="16">
        <f>IF(AND(R188=2),10,IF(R188=3,30,IF(R188=4,50,IF(R188=5,70,0))))</f>
        <v>0</v>
      </c>
      <c r="W188" s="17">
        <f>IF(G188="x",H188+J188+L188+N188+O188+P188+Q188+S188+U188+V188,0)</f>
        <v>40</v>
      </c>
    </row>
    <row r="189" spans="1:23" ht="10.5" hidden="1" customHeight="1" x14ac:dyDescent="0.2">
      <c r="A189" s="11"/>
      <c r="B189" s="149">
        <f>COUNTA(Spieltag!K176:AA176)</f>
        <v>0</v>
      </c>
      <c r="C189" s="166">
        <f>Spieltag!A176</f>
        <v>18</v>
      </c>
      <c r="D189" s="21" t="str">
        <f>Spieltag!B176</f>
        <v>Noah Mbamba (A)</v>
      </c>
      <c r="E189" s="12" t="str">
        <f>Spieltag!C176</f>
        <v>Mittelfeld</v>
      </c>
      <c r="F189" s="13" t="s">
        <v>56</v>
      </c>
      <c r="G189" s="14"/>
      <c r="H189" s="15">
        <f t="shared" si="594"/>
        <v>0</v>
      </c>
      <c r="I189" s="14"/>
      <c r="J189" s="15">
        <f t="shared" si="595"/>
        <v>0</v>
      </c>
      <c r="K189" s="14"/>
      <c r="L189" s="15">
        <f t="shared" si="596"/>
        <v>0</v>
      </c>
      <c r="M189" s="14"/>
      <c r="N189" s="15">
        <f t="shared" si="597"/>
        <v>0</v>
      </c>
      <c r="O189" s="16">
        <f t="shared" si="544"/>
        <v>20</v>
      </c>
      <c r="P189" s="16">
        <f t="shared" si="545"/>
        <v>20</v>
      </c>
      <c r="Q189" s="16">
        <f t="shared" si="592"/>
        <v>-10</v>
      </c>
      <c r="R189" s="14"/>
      <c r="S189" s="15">
        <f t="shared" si="593"/>
        <v>0</v>
      </c>
      <c r="T189" s="14"/>
      <c r="U189" s="15">
        <f t="shared" si="598"/>
        <v>0</v>
      </c>
      <c r="V189" s="16">
        <f t="shared" si="599"/>
        <v>0</v>
      </c>
      <c r="W189" s="17">
        <f t="shared" si="600"/>
        <v>0</v>
      </c>
    </row>
    <row r="190" spans="1:23" ht="10.5" customHeight="1" x14ac:dyDescent="0.2">
      <c r="A190" s="11"/>
      <c r="B190" s="149">
        <f>COUNTA(Spieltag!K177:AA177)</f>
        <v>1</v>
      </c>
      <c r="C190" s="166">
        <f>Spieltag!A177</f>
        <v>25</v>
      </c>
      <c r="D190" s="21" t="str">
        <f>Spieltag!B177</f>
        <v>Exequiel Palacios (A)</v>
      </c>
      <c r="E190" s="12" t="str">
        <f>Spieltag!C177</f>
        <v>Mittelfeld</v>
      </c>
      <c r="F190" s="13" t="s">
        <v>56</v>
      </c>
      <c r="G190" s="14" t="s">
        <v>676</v>
      </c>
      <c r="H190" s="15">
        <f t="shared" si="594"/>
        <v>10</v>
      </c>
      <c r="I190" s="14"/>
      <c r="J190" s="15">
        <f t="shared" si="595"/>
        <v>0</v>
      </c>
      <c r="K190" s="14"/>
      <c r="L190" s="15">
        <f t="shared" si="596"/>
        <v>0</v>
      </c>
      <c r="M190" s="14"/>
      <c r="N190" s="15">
        <f t="shared" si="597"/>
        <v>0</v>
      </c>
      <c r="O190" s="16">
        <f t="shared" si="544"/>
        <v>20</v>
      </c>
      <c r="P190" s="16">
        <f t="shared" si="545"/>
        <v>20</v>
      </c>
      <c r="Q190" s="16">
        <f t="shared" si="592"/>
        <v>-10</v>
      </c>
      <c r="R190" s="14"/>
      <c r="S190" s="15">
        <f t="shared" si="593"/>
        <v>0</v>
      </c>
      <c r="T190" s="14"/>
      <c r="U190" s="15">
        <f t="shared" si="598"/>
        <v>0</v>
      </c>
      <c r="V190" s="16">
        <f t="shared" si="599"/>
        <v>0</v>
      </c>
      <c r="W190" s="17">
        <f t="shared" si="600"/>
        <v>40</v>
      </c>
    </row>
    <row r="191" spans="1:23" ht="10.5" hidden="1" customHeight="1" x14ac:dyDescent="0.2">
      <c r="A191" s="11"/>
      <c r="B191" s="149">
        <f>COUNTA(Spieltag!K178:AA178)</f>
        <v>0</v>
      </c>
      <c r="C191" s="166">
        <f>Spieltag!A178</f>
        <v>32</v>
      </c>
      <c r="D191" s="21" t="str">
        <f>Spieltag!B178</f>
        <v>Gustavo Puerta (A)</v>
      </c>
      <c r="E191" s="12" t="str">
        <f>Spieltag!C178</f>
        <v>Mittelfeld</v>
      </c>
      <c r="F191" s="13" t="s">
        <v>56</v>
      </c>
      <c r="G191" s="14"/>
      <c r="H191" s="15">
        <f t="shared" si="594"/>
        <v>0</v>
      </c>
      <c r="I191" s="14"/>
      <c r="J191" s="15">
        <f t="shared" si="595"/>
        <v>0</v>
      </c>
      <c r="K191" s="14"/>
      <c r="L191" s="15">
        <f t="shared" si="596"/>
        <v>0</v>
      </c>
      <c r="M191" s="14"/>
      <c r="N191" s="15">
        <f t="shared" si="597"/>
        <v>0</v>
      </c>
      <c r="O191" s="16">
        <f t="shared" si="544"/>
        <v>20</v>
      </c>
      <c r="P191" s="16">
        <f t="shared" si="545"/>
        <v>20</v>
      </c>
      <c r="Q191" s="16">
        <f t="shared" si="592"/>
        <v>-10</v>
      </c>
      <c r="R191" s="14"/>
      <c r="S191" s="15">
        <f t="shared" si="593"/>
        <v>0</v>
      </c>
      <c r="T191" s="14"/>
      <c r="U191" s="15">
        <f t="shared" si="598"/>
        <v>0</v>
      </c>
      <c r="V191" s="16">
        <f t="shared" si="599"/>
        <v>0</v>
      </c>
      <c r="W191" s="17">
        <f t="shared" si="600"/>
        <v>0</v>
      </c>
    </row>
    <row r="192" spans="1:23" ht="10.5" hidden="1" customHeight="1" x14ac:dyDescent="0.2">
      <c r="A192" s="11"/>
      <c r="B192" s="149">
        <f>COUNTA(Spieltag!K179:AA179)</f>
        <v>0</v>
      </c>
      <c r="C192" s="166">
        <f>Spieltag!A179</f>
        <v>34</v>
      </c>
      <c r="D192" s="21" t="str">
        <f>Spieltag!B179</f>
        <v>Granit Xhaka (A)</v>
      </c>
      <c r="E192" s="12" t="str">
        <f>Spieltag!C179</f>
        <v>Mittelfeld</v>
      </c>
      <c r="F192" s="13" t="s">
        <v>56</v>
      </c>
      <c r="G192" s="14"/>
      <c r="H192" s="15">
        <f t="shared" si="594"/>
        <v>0</v>
      </c>
      <c r="I192" s="14"/>
      <c r="J192" s="15">
        <f t="shared" si="595"/>
        <v>0</v>
      </c>
      <c r="K192" s="14"/>
      <c r="L192" s="15">
        <f t="shared" si="596"/>
        <v>0</v>
      </c>
      <c r="M192" s="14"/>
      <c r="N192" s="15">
        <f t="shared" si="597"/>
        <v>0</v>
      </c>
      <c r="O192" s="16">
        <f t="shared" si="544"/>
        <v>20</v>
      </c>
      <c r="P192" s="16">
        <f t="shared" si="545"/>
        <v>20</v>
      </c>
      <c r="Q192" s="16">
        <f t="shared" si="592"/>
        <v>-10</v>
      </c>
      <c r="R192" s="14"/>
      <c r="S192" s="15">
        <f t="shared" si="593"/>
        <v>0</v>
      </c>
      <c r="T192" s="14"/>
      <c r="U192" s="15">
        <f t="shared" si="598"/>
        <v>0</v>
      </c>
      <c r="V192" s="16">
        <f t="shared" si="599"/>
        <v>0</v>
      </c>
      <c r="W192" s="17">
        <f t="shared" si="600"/>
        <v>0</v>
      </c>
    </row>
    <row r="193" spans="1:23" ht="10.5" hidden="1" customHeight="1" x14ac:dyDescent="0.2">
      <c r="A193" s="11"/>
      <c r="B193" s="149">
        <f>COUNTA(Spieltag!K180:AA180)</f>
        <v>0</v>
      </c>
      <c r="C193" s="166">
        <f>Spieltag!A180</f>
        <v>47</v>
      </c>
      <c r="D193" s="21" t="str">
        <f>Spieltag!B180</f>
        <v>Ayman Aourir</v>
      </c>
      <c r="E193" s="12" t="str">
        <f>Spieltag!C180</f>
        <v>Mittelfeld</v>
      </c>
      <c r="F193" s="13" t="s">
        <v>56</v>
      </c>
      <c r="G193" s="14"/>
      <c r="H193" s="15">
        <f t="shared" si="594"/>
        <v>0</v>
      </c>
      <c r="I193" s="14"/>
      <c r="J193" s="15">
        <f t="shared" si="595"/>
        <v>0</v>
      </c>
      <c r="K193" s="14"/>
      <c r="L193" s="15">
        <f t="shared" si="596"/>
        <v>0</v>
      </c>
      <c r="M193" s="14"/>
      <c r="N193" s="15">
        <f t="shared" si="597"/>
        <v>0</v>
      </c>
      <c r="O193" s="16">
        <f t="shared" si="544"/>
        <v>20</v>
      </c>
      <c r="P193" s="16">
        <f t="shared" si="545"/>
        <v>20</v>
      </c>
      <c r="Q193" s="16">
        <f t="shared" si="592"/>
        <v>-10</v>
      </c>
      <c r="R193" s="14"/>
      <c r="S193" s="15">
        <f t="shared" si="593"/>
        <v>0</v>
      </c>
      <c r="T193" s="14"/>
      <c r="U193" s="15">
        <f t="shared" si="598"/>
        <v>0</v>
      </c>
      <c r="V193" s="16">
        <f t="shared" si="599"/>
        <v>0</v>
      </c>
      <c r="W193" s="17">
        <f t="shared" si="600"/>
        <v>0</v>
      </c>
    </row>
    <row r="194" spans="1:23" ht="10.5" hidden="1" customHeight="1" x14ac:dyDescent="0.2">
      <c r="A194" s="11"/>
      <c r="B194" s="149">
        <f>COUNTA(Spieltag!K181:AA181)</f>
        <v>0</v>
      </c>
      <c r="C194" s="166">
        <f>Spieltag!A181</f>
        <v>9</v>
      </c>
      <c r="D194" s="21" t="str">
        <f>Spieltag!B181</f>
        <v>Borja Iglesias (A)</v>
      </c>
      <c r="E194" s="12" t="str">
        <f>Spieltag!C181</f>
        <v>Sturm</v>
      </c>
      <c r="F194" s="13" t="s">
        <v>56</v>
      </c>
      <c r="G194" s="14"/>
      <c r="H194" s="15">
        <f t="shared" si="594"/>
        <v>0</v>
      </c>
      <c r="I194" s="14"/>
      <c r="J194" s="15">
        <f t="shared" si="595"/>
        <v>0</v>
      </c>
      <c r="K194" s="14"/>
      <c r="L194" s="15">
        <f t="shared" si="596"/>
        <v>0</v>
      </c>
      <c r="M194" s="14"/>
      <c r="N194" s="15">
        <f t="shared" si="597"/>
        <v>0</v>
      </c>
      <c r="O194" s="16">
        <f t="shared" si="544"/>
        <v>20</v>
      </c>
      <c r="P194" s="16">
        <f t="shared" si="545"/>
        <v>20</v>
      </c>
      <c r="Q194" s="16">
        <f t="shared" ref="Q194:Q200" si="601">IF(($Q$6&lt;&gt;0),$Q$6*-10,5)</f>
        <v>-10</v>
      </c>
      <c r="R194" s="14"/>
      <c r="S194" s="15">
        <f t="shared" si="593"/>
        <v>0</v>
      </c>
      <c r="T194" s="14"/>
      <c r="U194" s="15">
        <f t="shared" si="598"/>
        <v>0</v>
      </c>
      <c r="V194" s="16">
        <f t="shared" si="599"/>
        <v>0</v>
      </c>
      <c r="W194" s="17">
        <f t="shared" si="600"/>
        <v>0</v>
      </c>
    </row>
    <row r="195" spans="1:23" ht="10.5" customHeight="1" x14ac:dyDescent="0.2">
      <c r="A195" s="11"/>
      <c r="B195" s="149">
        <f>COUNTA(Spieltag!K182:AA182)</f>
        <v>2</v>
      </c>
      <c r="C195" s="166">
        <f>Spieltag!A182</f>
        <v>14</v>
      </c>
      <c r="D195" s="21" t="str">
        <f>Spieltag!B182</f>
        <v>Patrick Schick (A)</v>
      </c>
      <c r="E195" s="12" t="str">
        <f>Spieltag!C182</f>
        <v>Sturm</v>
      </c>
      <c r="F195" s="13" t="s">
        <v>56</v>
      </c>
      <c r="G195" s="14" t="s">
        <v>676</v>
      </c>
      <c r="H195" s="15">
        <f t="shared" ref="H195" si="602">IF(G195="x",10,0)</f>
        <v>10</v>
      </c>
      <c r="I195" s="14"/>
      <c r="J195" s="15">
        <f t="shared" ref="J195" si="603">IF((I195="x"),-10,0)</f>
        <v>0</v>
      </c>
      <c r="K195" s="14"/>
      <c r="L195" s="15">
        <f t="shared" ref="L195" si="604">IF((K195="x"),-20,0)</f>
        <v>0</v>
      </c>
      <c r="M195" s="14"/>
      <c r="N195" s="15">
        <f t="shared" ref="N195" si="605">IF((M195="x"),-30,0)</f>
        <v>0</v>
      </c>
      <c r="O195" s="16">
        <f t="shared" si="544"/>
        <v>20</v>
      </c>
      <c r="P195" s="16">
        <f t="shared" si="545"/>
        <v>20</v>
      </c>
      <c r="Q195" s="16">
        <f t="shared" si="601"/>
        <v>-10</v>
      </c>
      <c r="R195" s="14"/>
      <c r="S195" s="15">
        <f t="shared" ref="S195" si="606">R195*10</f>
        <v>0</v>
      </c>
      <c r="T195" s="14"/>
      <c r="U195" s="15">
        <f t="shared" ref="U195" si="607">T195*-15</f>
        <v>0</v>
      </c>
      <c r="V195" s="16">
        <f t="shared" ref="V195" si="608">IF(AND(R195=2),10,IF(R195=3,30,IF(R195=4,50,IF(R195=5,70,0))))</f>
        <v>0</v>
      </c>
      <c r="W195" s="17">
        <f t="shared" ref="W195" si="609">IF(G195="x",H195+J195+L195+N195+O195+P195+Q195+S195+U195+V195,0)</f>
        <v>40</v>
      </c>
    </row>
    <row r="196" spans="1:23" ht="10.5" hidden="1" customHeight="1" x14ac:dyDescent="0.2">
      <c r="A196" s="11"/>
      <c r="B196" s="149">
        <f>COUNTA(Spieltag!K183:AA183)</f>
        <v>0</v>
      </c>
      <c r="C196" s="166">
        <f>Spieltag!A183</f>
        <v>19</v>
      </c>
      <c r="D196" s="21" t="str">
        <f>Spieltag!B183</f>
        <v>Nathan Tella (A)</v>
      </c>
      <c r="E196" s="12" t="str">
        <f>Spieltag!C183</f>
        <v>Sturm</v>
      </c>
      <c r="F196" s="13" t="s">
        <v>56</v>
      </c>
      <c r="G196" s="14"/>
      <c r="H196" s="15">
        <f t="shared" ref="H196:H200" si="610">IF(G196="x",10,0)</f>
        <v>0</v>
      </c>
      <c r="I196" s="14"/>
      <c r="J196" s="15">
        <f t="shared" ref="J196:J200" si="611">IF((I196="x"),-10,0)</f>
        <v>0</v>
      </c>
      <c r="K196" s="14"/>
      <c r="L196" s="15">
        <f t="shared" ref="L196:L200" si="612">IF((K196="x"),-20,0)</f>
        <v>0</v>
      </c>
      <c r="M196" s="14"/>
      <c r="N196" s="15">
        <f t="shared" ref="N196:N200" si="613">IF((M196="x"),-30,0)</f>
        <v>0</v>
      </c>
      <c r="O196" s="16">
        <f t="shared" si="544"/>
        <v>20</v>
      </c>
      <c r="P196" s="16">
        <f t="shared" si="545"/>
        <v>20</v>
      </c>
      <c r="Q196" s="16">
        <f t="shared" si="601"/>
        <v>-10</v>
      </c>
      <c r="R196" s="14"/>
      <c r="S196" s="15">
        <f t="shared" ref="S196:S200" si="614">R196*10</f>
        <v>0</v>
      </c>
      <c r="T196" s="14"/>
      <c r="U196" s="15">
        <f t="shared" ref="U196:U200" si="615">T196*-15</f>
        <v>0</v>
      </c>
      <c r="V196" s="16">
        <f t="shared" ref="V196:V200" si="616">IF(AND(R196=2),10,IF(R196=3,30,IF(R196=4,50,IF(R196=5,70,0))))</f>
        <v>0</v>
      </c>
      <c r="W196" s="17">
        <f t="shared" ref="W196:W200" si="617">IF(G196="x",H196+J196+L196+N196+O196+P196+Q196+S196+U196+V196,0)</f>
        <v>0</v>
      </c>
    </row>
    <row r="197" spans="1:23" ht="10.5" customHeight="1" x14ac:dyDescent="0.2">
      <c r="A197" s="11"/>
      <c r="B197" s="149">
        <f>COUNTA(Spieltag!K184:AA184)</f>
        <v>1</v>
      </c>
      <c r="C197" s="166">
        <f>Spieltag!A184</f>
        <v>21</v>
      </c>
      <c r="D197" s="21" t="str">
        <f>Spieltag!B184</f>
        <v>Amine Adli (A)</v>
      </c>
      <c r="E197" s="12" t="str">
        <f>Spieltag!C184</f>
        <v>Sturm</v>
      </c>
      <c r="F197" s="13" t="s">
        <v>56</v>
      </c>
      <c r="G197" s="14" t="s">
        <v>676</v>
      </c>
      <c r="H197" s="15">
        <f t="shared" si="610"/>
        <v>10</v>
      </c>
      <c r="I197" s="14"/>
      <c r="J197" s="15">
        <f t="shared" si="611"/>
        <v>0</v>
      </c>
      <c r="K197" s="14"/>
      <c r="L197" s="15">
        <f t="shared" si="612"/>
        <v>0</v>
      </c>
      <c r="M197" s="14"/>
      <c r="N197" s="15">
        <f t="shared" si="613"/>
        <v>0</v>
      </c>
      <c r="O197" s="16">
        <f t="shared" si="544"/>
        <v>20</v>
      </c>
      <c r="P197" s="16">
        <f t="shared" si="545"/>
        <v>20</v>
      </c>
      <c r="Q197" s="16">
        <f t="shared" si="601"/>
        <v>-10</v>
      </c>
      <c r="R197" s="14"/>
      <c r="S197" s="15">
        <f t="shared" si="614"/>
        <v>0</v>
      </c>
      <c r="T197" s="14"/>
      <c r="U197" s="15">
        <f t="shared" si="615"/>
        <v>0</v>
      </c>
      <c r="V197" s="16">
        <f t="shared" si="616"/>
        <v>0</v>
      </c>
      <c r="W197" s="17">
        <f t="shared" si="617"/>
        <v>40</v>
      </c>
    </row>
    <row r="198" spans="1:23" ht="10.5" customHeight="1" x14ac:dyDescent="0.2">
      <c r="A198" s="11"/>
      <c r="B198" s="149">
        <f>COUNTA(Spieltag!K185:AA185)</f>
        <v>2</v>
      </c>
      <c r="C198" s="166">
        <f>Spieltag!A185</f>
        <v>22</v>
      </c>
      <c r="D198" s="21" t="str">
        <f>Spieltag!B185</f>
        <v>Victor Boniface (A)</v>
      </c>
      <c r="E198" s="12" t="str">
        <f>Spieltag!C185</f>
        <v>Sturm</v>
      </c>
      <c r="F198" s="13" t="s">
        <v>56</v>
      </c>
      <c r="G198" s="14" t="s">
        <v>676</v>
      </c>
      <c r="H198" s="15">
        <f t="shared" si="610"/>
        <v>10</v>
      </c>
      <c r="I198" s="14"/>
      <c r="J198" s="15">
        <f t="shared" si="611"/>
        <v>0</v>
      </c>
      <c r="K198" s="14"/>
      <c r="L198" s="15">
        <f t="shared" si="612"/>
        <v>0</v>
      </c>
      <c r="M198" s="14"/>
      <c r="N198" s="15">
        <f t="shared" si="613"/>
        <v>0</v>
      </c>
      <c r="O198" s="16">
        <f t="shared" si="544"/>
        <v>20</v>
      </c>
      <c r="P198" s="16">
        <f t="shared" si="545"/>
        <v>20</v>
      </c>
      <c r="Q198" s="16">
        <f t="shared" si="601"/>
        <v>-10</v>
      </c>
      <c r="R198" s="14">
        <v>1</v>
      </c>
      <c r="S198" s="15">
        <f t="shared" si="614"/>
        <v>10</v>
      </c>
      <c r="T198" s="14"/>
      <c r="U198" s="15">
        <f t="shared" si="615"/>
        <v>0</v>
      </c>
      <c r="V198" s="16">
        <f t="shared" si="616"/>
        <v>0</v>
      </c>
      <c r="W198" s="17">
        <f t="shared" si="617"/>
        <v>50</v>
      </c>
    </row>
    <row r="199" spans="1:23" ht="10.5" hidden="1" customHeight="1" x14ac:dyDescent="0.2">
      <c r="A199" s="11"/>
      <c r="B199" s="149">
        <f>COUNTA(Spieltag!K186:AA186)</f>
        <v>0</v>
      </c>
      <c r="C199" s="166">
        <f>Spieltag!A186</f>
        <v>23</v>
      </c>
      <c r="D199" s="21" t="str">
        <f>Spieltag!B186</f>
        <v>Adam Hložek (A)</v>
      </c>
      <c r="E199" s="12" t="str">
        <f>Spieltag!C186</f>
        <v>Sturm</v>
      </c>
      <c r="F199" s="13" t="s">
        <v>56</v>
      </c>
      <c r="G199" s="14"/>
      <c r="H199" s="15">
        <f t="shared" ref="H199" si="618">IF(G199="x",10,0)</f>
        <v>0</v>
      </c>
      <c r="I199" s="14"/>
      <c r="J199" s="15">
        <f t="shared" ref="J199" si="619">IF((I199="x"),-10,0)</f>
        <v>0</v>
      </c>
      <c r="K199" s="14"/>
      <c r="L199" s="15">
        <f t="shared" ref="L199" si="620">IF((K199="x"),-20,0)</f>
        <v>0</v>
      </c>
      <c r="M199" s="14"/>
      <c r="N199" s="15">
        <f t="shared" ref="N199" si="621">IF((M199="x"),-30,0)</f>
        <v>0</v>
      </c>
      <c r="O199" s="16">
        <f t="shared" si="544"/>
        <v>20</v>
      </c>
      <c r="P199" s="16">
        <f t="shared" si="545"/>
        <v>20</v>
      </c>
      <c r="Q199" s="16">
        <f t="shared" si="601"/>
        <v>-10</v>
      </c>
      <c r="R199" s="14"/>
      <c r="S199" s="15">
        <f t="shared" ref="S199" si="622">R199*10</f>
        <v>0</v>
      </c>
      <c r="T199" s="14"/>
      <c r="U199" s="15">
        <f t="shared" ref="U199" si="623">T199*-15</f>
        <v>0</v>
      </c>
      <c r="V199" s="16">
        <f t="shared" ref="V199" si="624">IF(AND(R199=2),10,IF(R199=3,30,IF(R199=4,50,IF(R199=5,70,0))))</f>
        <v>0</v>
      </c>
      <c r="W199" s="17">
        <f t="shared" ref="W199" si="625">IF(G199="x",H199+J199+L199+N199+O199+P199+Q199+S199+U199+V199,0)</f>
        <v>0</v>
      </c>
    </row>
    <row r="200" spans="1:23" ht="10.5" hidden="1" customHeight="1" x14ac:dyDescent="0.2">
      <c r="A200" s="11"/>
      <c r="B200" s="149">
        <f>COUNTA(Spieltag!K187:AA187)</f>
        <v>0</v>
      </c>
      <c r="C200" s="166">
        <f>Spieltag!A187</f>
        <v>40</v>
      </c>
      <c r="D200" s="21" t="str">
        <f>Spieltag!B187</f>
        <v>Francis Onyeka</v>
      </c>
      <c r="E200" s="12" t="str">
        <f>Spieltag!C187</f>
        <v>Sturm</v>
      </c>
      <c r="F200" s="13" t="s">
        <v>56</v>
      </c>
      <c r="G200" s="14"/>
      <c r="H200" s="15">
        <f t="shared" si="610"/>
        <v>0</v>
      </c>
      <c r="I200" s="14"/>
      <c r="J200" s="15">
        <f t="shared" si="611"/>
        <v>0</v>
      </c>
      <c r="K200" s="14"/>
      <c r="L200" s="15">
        <f t="shared" si="612"/>
        <v>0</v>
      </c>
      <c r="M200" s="14"/>
      <c r="N200" s="15">
        <f t="shared" si="613"/>
        <v>0</v>
      </c>
      <c r="O200" s="16">
        <f t="shared" si="544"/>
        <v>20</v>
      </c>
      <c r="P200" s="16">
        <f t="shared" si="545"/>
        <v>20</v>
      </c>
      <c r="Q200" s="16">
        <f t="shared" si="601"/>
        <v>-10</v>
      </c>
      <c r="R200" s="14"/>
      <c r="S200" s="15">
        <f t="shared" si="614"/>
        <v>0</v>
      </c>
      <c r="T200" s="14"/>
      <c r="U200" s="15">
        <f t="shared" si="615"/>
        <v>0</v>
      </c>
      <c r="V200" s="16">
        <f t="shared" si="616"/>
        <v>0</v>
      </c>
      <c r="W200" s="17">
        <f t="shared" si="617"/>
        <v>0</v>
      </c>
    </row>
    <row r="201" spans="1:23" s="144" customFormat="1" ht="17.25" hidden="1" thickBot="1" x14ac:dyDescent="0.25">
      <c r="A201" s="142"/>
      <c r="B201" s="143">
        <f>SUM(B202:B237)</f>
        <v>0</v>
      </c>
      <c r="C201" s="158"/>
      <c r="D201" s="221" t="s">
        <v>106</v>
      </c>
      <c r="E201" s="221"/>
      <c r="F201" s="221"/>
      <c r="G201" s="221"/>
      <c r="H201" s="221"/>
      <c r="I201" s="221"/>
      <c r="J201" s="221"/>
      <c r="K201" s="221"/>
      <c r="L201" s="221"/>
      <c r="M201" s="221"/>
      <c r="N201" s="221"/>
      <c r="O201" s="221"/>
      <c r="P201" s="221"/>
      <c r="Q201" s="221"/>
      <c r="R201" s="221"/>
      <c r="S201" s="221"/>
      <c r="T201" s="221"/>
      <c r="U201" s="221"/>
      <c r="V201" s="221"/>
      <c r="W201" s="222"/>
    </row>
    <row r="202" spans="1:23" ht="10.5" hidden="1" customHeight="1" x14ac:dyDescent="0.2">
      <c r="A202" s="11"/>
      <c r="B202" s="150">
        <f>COUNTA(Spieltag!K189:AA189)</f>
        <v>0</v>
      </c>
      <c r="C202" s="166">
        <f>Spieltag!A189</f>
        <v>1</v>
      </c>
      <c r="D202" s="21" t="str">
        <f>Spieltag!B189</f>
        <v>Kevin Trapp</v>
      </c>
      <c r="E202" s="151" t="str">
        <f>Spieltag!C189</f>
        <v>Torwart</v>
      </c>
      <c r="F202" s="152" t="s">
        <v>103</v>
      </c>
      <c r="G202" s="153"/>
      <c r="H202" s="154">
        <f>IF(G202="x",10,0)</f>
        <v>0</v>
      </c>
      <c r="I202" s="153"/>
      <c r="J202" s="154">
        <f>IF((I202="x"),-10,0)</f>
        <v>0</v>
      </c>
      <c r="K202" s="153"/>
      <c r="L202" s="154">
        <f>IF((K202="x"),-20,0)</f>
        <v>0</v>
      </c>
      <c r="M202" s="153"/>
      <c r="N202" s="154">
        <f>IF((M202="x"),-30,0)</f>
        <v>0</v>
      </c>
      <c r="O202" s="155">
        <f>IF(AND($V$9&gt;$W$9),20,IF($V$9=$W$9,10,0))</f>
        <v>10</v>
      </c>
      <c r="P202" s="155">
        <f>IF(($V$9&lt;&gt;0),$V$9*10,-5)</f>
        <v>20</v>
      </c>
      <c r="Q202" s="155">
        <f>IF(($W$9&lt;&gt;0),$W$9*-10,20)</f>
        <v>-20</v>
      </c>
      <c r="R202" s="153"/>
      <c r="S202" s="154">
        <f>R202*20</f>
        <v>0</v>
      </c>
      <c r="T202" s="153"/>
      <c r="U202" s="154">
        <f>T202*-15</f>
        <v>0</v>
      </c>
      <c r="V202" s="155">
        <f>IF(AND(R202=2),10,IF(R202=3,30,IF(R202=4,50,IF(R202=5,70,0))))</f>
        <v>0</v>
      </c>
      <c r="W202" s="156">
        <f>IF(G202="x",H202+J202+L202+N202+O202+P202+Q202+S202+U202+V202,0)</f>
        <v>0</v>
      </c>
    </row>
    <row r="203" spans="1:23" ht="10.5" hidden="1" customHeight="1" x14ac:dyDescent="0.2">
      <c r="A203" s="11"/>
      <c r="B203" s="150">
        <f>COUNTA(Spieltag!K190:AA190)</f>
        <v>0</v>
      </c>
      <c r="C203" s="166">
        <f>Spieltag!A190</f>
        <v>31</v>
      </c>
      <c r="D203" s="21" t="str">
        <f>Spieltag!B190</f>
        <v>Jens Grahl</v>
      </c>
      <c r="E203" s="151" t="str">
        <f>Spieltag!C190</f>
        <v>Torwart</v>
      </c>
      <c r="F203" s="152" t="s">
        <v>103</v>
      </c>
      <c r="G203" s="153"/>
      <c r="H203" s="154">
        <f t="shared" ref="H203:H207" si="626">IF(G203="x",10,0)</f>
        <v>0</v>
      </c>
      <c r="I203" s="153"/>
      <c r="J203" s="154">
        <f t="shared" ref="J203:J207" si="627">IF((I203="x"),-10,0)</f>
        <v>0</v>
      </c>
      <c r="K203" s="153"/>
      <c r="L203" s="154">
        <f t="shared" ref="L203:L207" si="628">IF((K203="x"),-20,0)</f>
        <v>0</v>
      </c>
      <c r="M203" s="153"/>
      <c r="N203" s="154">
        <f t="shared" ref="N203:N207" si="629">IF((M203="x"),-30,0)</f>
        <v>0</v>
      </c>
      <c r="O203" s="155">
        <f t="shared" ref="O203:O207" si="630">IF(AND($V$9&gt;$W$9),20,IF($V$9=$W$9,10,0))</f>
        <v>10</v>
      </c>
      <c r="P203" s="155">
        <f t="shared" ref="P203:P207" si="631">IF(($V$9&lt;&gt;0),$V$9*10,-5)</f>
        <v>20</v>
      </c>
      <c r="Q203" s="155">
        <f t="shared" ref="Q203:Q207" si="632">IF(($W$9&lt;&gt;0),$W$9*-10,20)</f>
        <v>-20</v>
      </c>
      <c r="R203" s="153"/>
      <c r="S203" s="154">
        <f t="shared" ref="S203:S207" si="633">R203*20</f>
        <v>0</v>
      </c>
      <c r="T203" s="153"/>
      <c r="U203" s="154">
        <f t="shared" ref="U203:U207" si="634">T203*-15</f>
        <v>0</v>
      </c>
      <c r="V203" s="155">
        <f t="shared" ref="V203:V207" si="635">IF(AND(R203=2),10,IF(R203=3,30,IF(R203=4,50,IF(R203=5,70,0))))</f>
        <v>0</v>
      </c>
      <c r="W203" s="156">
        <f t="shared" ref="W203:W207" si="636">IF(G203="x",H203+J203+L203+N203+O203+P203+Q203+S203+U203+V203,0)</f>
        <v>0</v>
      </c>
    </row>
    <row r="204" spans="1:23" ht="10.5" hidden="1" customHeight="1" x14ac:dyDescent="0.2">
      <c r="A204" s="11"/>
      <c r="B204" s="150">
        <f>COUNTA(Spieltag!K191:AA191)</f>
        <v>0</v>
      </c>
      <c r="C204" s="166">
        <f>Spieltag!A191</f>
        <v>38</v>
      </c>
      <c r="D204" s="21" t="str">
        <f>Spieltag!B191</f>
        <v>Nils Ramming</v>
      </c>
      <c r="E204" s="151" t="str">
        <f>Spieltag!C191</f>
        <v>Torwart</v>
      </c>
      <c r="F204" s="152" t="s">
        <v>103</v>
      </c>
      <c r="G204" s="153"/>
      <c r="H204" s="154">
        <f t="shared" ref="H204" si="637">IF(G204="x",10,0)</f>
        <v>0</v>
      </c>
      <c r="I204" s="153"/>
      <c r="J204" s="154">
        <f t="shared" ref="J204" si="638">IF((I204="x"),-10,0)</f>
        <v>0</v>
      </c>
      <c r="K204" s="153"/>
      <c r="L204" s="154">
        <f t="shared" ref="L204" si="639">IF((K204="x"),-20,0)</f>
        <v>0</v>
      </c>
      <c r="M204" s="153"/>
      <c r="N204" s="154">
        <f t="shared" ref="N204" si="640">IF((M204="x"),-30,0)</f>
        <v>0</v>
      </c>
      <c r="O204" s="155">
        <f t="shared" si="630"/>
        <v>10</v>
      </c>
      <c r="P204" s="155">
        <f t="shared" si="631"/>
        <v>20</v>
      </c>
      <c r="Q204" s="155">
        <f t="shared" si="632"/>
        <v>-20</v>
      </c>
      <c r="R204" s="153"/>
      <c r="S204" s="154">
        <f t="shared" ref="S204" si="641">R204*20</f>
        <v>0</v>
      </c>
      <c r="T204" s="153"/>
      <c r="U204" s="154">
        <f t="shared" ref="U204" si="642">T204*-15</f>
        <v>0</v>
      </c>
      <c r="V204" s="155">
        <f t="shared" ref="V204" si="643">IF(AND(R204=2),10,IF(R204=3,30,IF(R204=4,50,IF(R204=5,70,0))))</f>
        <v>0</v>
      </c>
      <c r="W204" s="156">
        <f t="shared" ref="W204" si="644">IF(G204="x",H204+J204+L204+N204+O204+P204+Q204+S204+U204+V204,0)</f>
        <v>0</v>
      </c>
    </row>
    <row r="205" spans="1:23" ht="10.5" hidden="1" customHeight="1" x14ac:dyDescent="0.2">
      <c r="A205" s="11"/>
      <c r="B205" s="150">
        <f>COUNTA(Spieltag!K192:AA192)</f>
        <v>0</v>
      </c>
      <c r="C205" s="166">
        <f>Spieltag!A192</f>
        <v>40</v>
      </c>
      <c r="D205" s="21" t="str">
        <f>Spieltag!B192</f>
        <v>Kauã Santos (A)</v>
      </c>
      <c r="E205" s="151" t="str">
        <f>Spieltag!C192</f>
        <v>Torwart</v>
      </c>
      <c r="F205" s="152" t="s">
        <v>103</v>
      </c>
      <c r="G205" s="153"/>
      <c r="H205" s="154">
        <f t="shared" si="626"/>
        <v>0</v>
      </c>
      <c r="I205" s="153"/>
      <c r="J205" s="154">
        <f t="shared" si="627"/>
        <v>0</v>
      </c>
      <c r="K205" s="153"/>
      <c r="L205" s="154">
        <f t="shared" si="628"/>
        <v>0</v>
      </c>
      <c r="M205" s="153"/>
      <c r="N205" s="154">
        <f t="shared" si="629"/>
        <v>0</v>
      </c>
      <c r="O205" s="155">
        <f t="shared" si="630"/>
        <v>10</v>
      </c>
      <c r="P205" s="155">
        <f t="shared" si="631"/>
        <v>20</v>
      </c>
      <c r="Q205" s="155">
        <f t="shared" si="632"/>
        <v>-20</v>
      </c>
      <c r="R205" s="153"/>
      <c r="S205" s="154">
        <f t="shared" si="633"/>
        <v>0</v>
      </c>
      <c r="T205" s="153"/>
      <c r="U205" s="154">
        <f t="shared" si="634"/>
        <v>0</v>
      </c>
      <c r="V205" s="155">
        <f t="shared" si="635"/>
        <v>0</v>
      </c>
      <c r="W205" s="156">
        <f t="shared" si="636"/>
        <v>0</v>
      </c>
    </row>
    <row r="206" spans="1:23" ht="10.5" hidden="1" customHeight="1" x14ac:dyDescent="0.2">
      <c r="A206" s="11"/>
      <c r="B206" s="150">
        <f>COUNTA(Spieltag!K193:AA193)</f>
        <v>0</v>
      </c>
      <c r="C206" s="166">
        <f>Spieltag!A193</f>
        <v>41</v>
      </c>
      <c r="D206" s="21" t="str">
        <f>Spieltag!B193</f>
        <v>Simon Simoni (A)</v>
      </c>
      <c r="E206" s="151" t="str">
        <f>Spieltag!C193</f>
        <v>Torwart</v>
      </c>
      <c r="F206" s="152" t="s">
        <v>103</v>
      </c>
      <c r="G206" s="153"/>
      <c r="H206" s="154">
        <f t="shared" ref="H206" si="645">IF(G206="x",10,0)</f>
        <v>0</v>
      </c>
      <c r="I206" s="153"/>
      <c r="J206" s="154">
        <f t="shared" ref="J206" si="646">IF((I206="x"),-10,0)</f>
        <v>0</v>
      </c>
      <c r="K206" s="153"/>
      <c r="L206" s="154">
        <f t="shared" ref="L206" si="647">IF((K206="x"),-20,0)</f>
        <v>0</v>
      </c>
      <c r="M206" s="153"/>
      <c r="N206" s="154">
        <f t="shared" ref="N206" si="648">IF((M206="x"),-30,0)</f>
        <v>0</v>
      </c>
      <c r="O206" s="155">
        <f t="shared" si="630"/>
        <v>10</v>
      </c>
      <c r="P206" s="155">
        <f t="shared" si="631"/>
        <v>20</v>
      </c>
      <c r="Q206" s="155">
        <f t="shared" si="632"/>
        <v>-20</v>
      </c>
      <c r="R206" s="153"/>
      <c r="S206" s="154">
        <f t="shared" ref="S206" si="649">R206*20</f>
        <v>0</v>
      </c>
      <c r="T206" s="153"/>
      <c r="U206" s="154">
        <f t="shared" ref="U206" si="650">T206*-15</f>
        <v>0</v>
      </c>
      <c r="V206" s="155">
        <f t="shared" ref="V206" si="651">IF(AND(R206=2),10,IF(R206=3,30,IF(R206=4,50,IF(R206=5,70,0))))</f>
        <v>0</v>
      </c>
      <c r="W206" s="156">
        <f t="shared" ref="W206" si="652">IF(G206="x",H206+J206+L206+N206+O206+P206+Q206+S206+U206+V206,0)</f>
        <v>0</v>
      </c>
    </row>
    <row r="207" spans="1:23" ht="10.5" hidden="1" customHeight="1" x14ac:dyDescent="0.2">
      <c r="A207" s="11"/>
      <c r="B207" s="150">
        <f>COUNTA(Spieltag!K194:AA194)</f>
        <v>0</v>
      </c>
      <c r="C207" s="166">
        <f>Spieltag!A194</f>
        <v>42</v>
      </c>
      <c r="D207" s="21" t="str">
        <f>Spieltag!B194</f>
        <v>Luke Grauer</v>
      </c>
      <c r="E207" s="151" t="str">
        <f>Spieltag!C194</f>
        <v>Torwart</v>
      </c>
      <c r="F207" s="152" t="s">
        <v>103</v>
      </c>
      <c r="G207" s="153"/>
      <c r="H207" s="154">
        <f t="shared" si="626"/>
        <v>0</v>
      </c>
      <c r="I207" s="153"/>
      <c r="J207" s="154">
        <f t="shared" si="627"/>
        <v>0</v>
      </c>
      <c r="K207" s="153"/>
      <c r="L207" s="154">
        <f t="shared" si="628"/>
        <v>0</v>
      </c>
      <c r="M207" s="153"/>
      <c r="N207" s="154">
        <f t="shared" si="629"/>
        <v>0</v>
      </c>
      <c r="O207" s="155">
        <f t="shared" si="630"/>
        <v>10</v>
      </c>
      <c r="P207" s="155">
        <f t="shared" si="631"/>
        <v>20</v>
      </c>
      <c r="Q207" s="155">
        <f t="shared" si="632"/>
        <v>-20</v>
      </c>
      <c r="R207" s="153"/>
      <c r="S207" s="154">
        <f t="shared" si="633"/>
        <v>0</v>
      </c>
      <c r="T207" s="153"/>
      <c r="U207" s="154">
        <f t="shared" si="634"/>
        <v>0</v>
      </c>
      <c r="V207" s="155">
        <f t="shared" si="635"/>
        <v>0</v>
      </c>
      <c r="W207" s="156">
        <f t="shared" si="636"/>
        <v>0</v>
      </c>
    </row>
    <row r="208" spans="1:23" ht="10.5" hidden="1" customHeight="1" x14ac:dyDescent="0.2">
      <c r="A208" s="11"/>
      <c r="B208" s="150">
        <f>COUNTA(Spieltag!K195:AA195)</f>
        <v>0</v>
      </c>
      <c r="C208" s="166">
        <f>Spieltag!A195</f>
        <v>3</v>
      </c>
      <c r="D208" s="21" t="str">
        <f>Spieltag!B195</f>
        <v>Willian Pacho (A)</v>
      </c>
      <c r="E208" s="151" t="str">
        <f>Spieltag!C195</f>
        <v>Abwehr</v>
      </c>
      <c r="F208" s="152" t="s">
        <v>103</v>
      </c>
      <c r="G208" s="153"/>
      <c r="H208" s="154">
        <f>IF(G208="x",10,0)</f>
        <v>0</v>
      </c>
      <c r="I208" s="153"/>
      <c r="J208" s="154">
        <f>IF((I208="x"),-10,0)</f>
        <v>0</v>
      </c>
      <c r="K208" s="153"/>
      <c r="L208" s="154">
        <f>IF((K208="x"),-20,0)</f>
        <v>0</v>
      </c>
      <c r="M208" s="153"/>
      <c r="N208" s="154">
        <f>IF((M208="x"),-30,0)</f>
        <v>0</v>
      </c>
      <c r="O208" s="155">
        <f t="shared" ref="O208:O218" si="653">IF(AND($V$9&gt;$W$9),20,IF($V$9=$W$9,10,0))</f>
        <v>10</v>
      </c>
      <c r="P208" s="155">
        <f t="shared" ref="P208:P218" si="654">IF(($V$9&lt;&gt;0),$V$9*10,-5)</f>
        <v>20</v>
      </c>
      <c r="Q208" s="155">
        <f t="shared" ref="Q208:Q218" si="655">IF(($W$9&lt;&gt;0),$W$9*-10,15)</f>
        <v>-20</v>
      </c>
      <c r="R208" s="153"/>
      <c r="S208" s="154">
        <f>R208*15</f>
        <v>0</v>
      </c>
      <c r="T208" s="153"/>
      <c r="U208" s="154">
        <f>T208*-15</f>
        <v>0</v>
      </c>
      <c r="V208" s="155">
        <f>IF(AND(R208=2),10,IF(R208=3,30,IF(R208=4,50,IF(R208=5,70,0))))</f>
        <v>0</v>
      </c>
      <c r="W208" s="156">
        <f>IF(G208="x",H208+J208+L208+N208+O208+P208+Q208+S208+U208+V208,0)</f>
        <v>0</v>
      </c>
    </row>
    <row r="209" spans="1:23" ht="10.5" hidden="1" customHeight="1" x14ac:dyDescent="0.2">
      <c r="A209" s="11"/>
      <c r="B209" s="150">
        <f>COUNTA(Spieltag!K196:AA196)</f>
        <v>0</v>
      </c>
      <c r="C209" s="166">
        <f>Spieltag!A196</f>
        <v>4</v>
      </c>
      <c r="D209" s="21" t="str">
        <f>Spieltag!B196</f>
        <v>Robin Koch</v>
      </c>
      <c r="E209" s="151" t="str">
        <f>Spieltag!C196</f>
        <v>Abwehr</v>
      </c>
      <c r="F209" s="152" t="s">
        <v>103</v>
      </c>
      <c r="G209" s="153"/>
      <c r="H209" s="154">
        <f t="shared" ref="H209:H218" si="656">IF(G209="x",10,0)</f>
        <v>0</v>
      </c>
      <c r="I209" s="153"/>
      <c r="J209" s="154">
        <f t="shared" ref="J209:J218" si="657">IF((I209="x"),-10,0)</f>
        <v>0</v>
      </c>
      <c r="K209" s="153"/>
      <c r="L209" s="154">
        <f t="shared" ref="L209:L218" si="658">IF((K209="x"),-20,0)</f>
        <v>0</v>
      </c>
      <c r="M209" s="153"/>
      <c r="N209" s="154">
        <f t="shared" ref="N209:N218" si="659">IF((M209="x"),-30,0)</f>
        <v>0</v>
      </c>
      <c r="O209" s="155">
        <f t="shared" si="653"/>
        <v>10</v>
      </c>
      <c r="P209" s="155">
        <f t="shared" si="654"/>
        <v>20</v>
      </c>
      <c r="Q209" s="155">
        <f t="shared" si="655"/>
        <v>-20</v>
      </c>
      <c r="R209" s="153"/>
      <c r="S209" s="154">
        <f t="shared" ref="S209:S218" si="660">R209*15</f>
        <v>0</v>
      </c>
      <c r="T209" s="153"/>
      <c r="U209" s="154">
        <f t="shared" ref="U209:U218" si="661">T209*-15</f>
        <v>0</v>
      </c>
      <c r="V209" s="155">
        <f t="shared" ref="V209:V218" si="662">IF(AND(R209=2),10,IF(R209=3,30,IF(R209=4,50,IF(R209=5,70,0))))</f>
        <v>0</v>
      </c>
      <c r="W209" s="156">
        <f t="shared" ref="W209:W218" si="663">IF(G209="x",H209+J209+L209+N209+O209+P209+Q209+S209+U209+V209,0)</f>
        <v>0</v>
      </c>
    </row>
    <row r="210" spans="1:23" ht="10.5" hidden="1" customHeight="1" x14ac:dyDescent="0.2">
      <c r="A210" s="11"/>
      <c r="B210" s="150">
        <f>COUNTA(Spieltag!K197:AA197)</f>
        <v>0</v>
      </c>
      <c r="C210" s="166">
        <f>Spieltag!A197</f>
        <v>5</v>
      </c>
      <c r="D210" s="21" t="str">
        <f>Spieltag!B197</f>
        <v>Hrvoje Smolčić (A)</v>
      </c>
      <c r="E210" s="151" t="str">
        <f>Spieltag!C197</f>
        <v>Abwehr</v>
      </c>
      <c r="F210" s="152" t="s">
        <v>103</v>
      </c>
      <c r="G210" s="153"/>
      <c r="H210" s="154">
        <f t="shared" si="656"/>
        <v>0</v>
      </c>
      <c r="I210" s="153"/>
      <c r="J210" s="154">
        <f t="shared" si="657"/>
        <v>0</v>
      </c>
      <c r="K210" s="153"/>
      <c r="L210" s="154">
        <f t="shared" si="658"/>
        <v>0</v>
      </c>
      <c r="M210" s="153"/>
      <c r="N210" s="154">
        <f t="shared" si="659"/>
        <v>0</v>
      </c>
      <c r="O210" s="155">
        <f t="shared" si="653"/>
        <v>10</v>
      </c>
      <c r="P210" s="155">
        <f t="shared" si="654"/>
        <v>20</v>
      </c>
      <c r="Q210" s="155">
        <f t="shared" si="655"/>
        <v>-20</v>
      </c>
      <c r="R210" s="153"/>
      <c r="S210" s="154">
        <f t="shared" si="660"/>
        <v>0</v>
      </c>
      <c r="T210" s="153"/>
      <c r="U210" s="154">
        <f t="shared" si="661"/>
        <v>0</v>
      </c>
      <c r="V210" s="155">
        <f t="shared" si="662"/>
        <v>0</v>
      </c>
      <c r="W210" s="156">
        <f t="shared" si="663"/>
        <v>0</v>
      </c>
    </row>
    <row r="211" spans="1:23" ht="10.5" hidden="1" customHeight="1" x14ac:dyDescent="0.2">
      <c r="A211" s="11"/>
      <c r="B211" s="150">
        <f>COUNTA(Spieltag!K198:AA198)</f>
        <v>0</v>
      </c>
      <c r="C211" s="166">
        <f>Spieltag!A198</f>
        <v>20</v>
      </c>
      <c r="D211" s="21" t="str">
        <f>Spieltag!B198</f>
        <v>Makoto Hasebe (A)</v>
      </c>
      <c r="E211" s="151" t="str">
        <f>Spieltag!C198</f>
        <v>Abwehr</v>
      </c>
      <c r="F211" s="152" t="s">
        <v>103</v>
      </c>
      <c r="G211" s="153"/>
      <c r="H211" s="154">
        <f t="shared" si="656"/>
        <v>0</v>
      </c>
      <c r="I211" s="153"/>
      <c r="J211" s="154">
        <f t="shared" si="657"/>
        <v>0</v>
      </c>
      <c r="K211" s="153"/>
      <c r="L211" s="154">
        <f t="shared" si="658"/>
        <v>0</v>
      </c>
      <c r="M211" s="153"/>
      <c r="N211" s="154">
        <f t="shared" si="659"/>
        <v>0</v>
      </c>
      <c r="O211" s="155">
        <f t="shared" si="653"/>
        <v>10</v>
      </c>
      <c r="P211" s="155">
        <f t="shared" si="654"/>
        <v>20</v>
      </c>
      <c r="Q211" s="155">
        <f t="shared" si="655"/>
        <v>-20</v>
      </c>
      <c r="R211" s="153"/>
      <c r="S211" s="154">
        <f t="shared" si="660"/>
        <v>0</v>
      </c>
      <c r="T211" s="153"/>
      <c r="U211" s="154">
        <f t="shared" si="661"/>
        <v>0</v>
      </c>
      <c r="V211" s="155">
        <f t="shared" si="662"/>
        <v>0</v>
      </c>
      <c r="W211" s="156">
        <f t="shared" si="663"/>
        <v>0</v>
      </c>
    </row>
    <row r="212" spans="1:23" ht="10.5" hidden="1" customHeight="1" x14ac:dyDescent="0.2">
      <c r="A212" s="11"/>
      <c r="B212" s="150">
        <f>COUNTA(Spieltag!K199:AA199)</f>
        <v>0</v>
      </c>
      <c r="C212" s="166">
        <f>Spieltag!A199</f>
        <v>24</v>
      </c>
      <c r="D212" s="21" t="str">
        <f>Spieltag!B199</f>
        <v>Aurélio Buta (A)</v>
      </c>
      <c r="E212" s="151" t="str">
        <f>Spieltag!C199</f>
        <v>Abwehr</v>
      </c>
      <c r="F212" s="152" t="s">
        <v>103</v>
      </c>
      <c r="G212" s="153"/>
      <c r="H212" s="154">
        <f t="shared" si="656"/>
        <v>0</v>
      </c>
      <c r="I212" s="153"/>
      <c r="J212" s="154">
        <f t="shared" si="657"/>
        <v>0</v>
      </c>
      <c r="K212" s="153"/>
      <c r="L212" s="154">
        <f t="shared" si="658"/>
        <v>0</v>
      </c>
      <c r="M212" s="153"/>
      <c r="N212" s="154">
        <f t="shared" si="659"/>
        <v>0</v>
      </c>
      <c r="O212" s="155">
        <f t="shared" si="653"/>
        <v>10</v>
      </c>
      <c r="P212" s="155">
        <f t="shared" si="654"/>
        <v>20</v>
      </c>
      <c r="Q212" s="155">
        <f t="shared" si="655"/>
        <v>-20</v>
      </c>
      <c r="R212" s="153"/>
      <c r="S212" s="154">
        <f t="shared" si="660"/>
        <v>0</v>
      </c>
      <c r="T212" s="153"/>
      <c r="U212" s="154">
        <f t="shared" si="661"/>
        <v>0</v>
      </c>
      <c r="V212" s="155">
        <f t="shared" si="662"/>
        <v>0</v>
      </c>
      <c r="W212" s="156">
        <f t="shared" si="663"/>
        <v>0</v>
      </c>
    </row>
    <row r="213" spans="1:23" ht="10.5" hidden="1" customHeight="1" x14ac:dyDescent="0.2">
      <c r="A213" s="11"/>
      <c r="B213" s="150">
        <f>COUNTA(Spieltag!K200:AA200)</f>
        <v>0</v>
      </c>
      <c r="C213" s="166">
        <f>Spieltag!A200</f>
        <v>29</v>
      </c>
      <c r="D213" s="21" t="str">
        <f>Spieltag!B200</f>
        <v>Niels Nkounkou (A)</v>
      </c>
      <c r="E213" s="151" t="str">
        <f>Spieltag!C200</f>
        <v>Abwehr</v>
      </c>
      <c r="F213" s="152" t="s">
        <v>103</v>
      </c>
      <c r="G213" s="153"/>
      <c r="H213" s="154">
        <f t="shared" si="656"/>
        <v>0</v>
      </c>
      <c r="I213" s="153"/>
      <c r="J213" s="154">
        <f t="shared" si="657"/>
        <v>0</v>
      </c>
      <c r="K213" s="153"/>
      <c r="L213" s="154">
        <f t="shared" si="658"/>
        <v>0</v>
      </c>
      <c r="M213" s="153"/>
      <c r="N213" s="154">
        <f t="shared" si="659"/>
        <v>0</v>
      </c>
      <c r="O213" s="155">
        <f t="shared" si="653"/>
        <v>10</v>
      </c>
      <c r="P213" s="155">
        <f t="shared" si="654"/>
        <v>20</v>
      </c>
      <c r="Q213" s="155">
        <f t="shared" si="655"/>
        <v>-20</v>
      </c>
      <c r="R213" s="153"/>
      <c r="S213" s="154">
        <f t="shared" si="660"/>
        <v>0</v>
      </c>
      <c r="T213" s="153"/>
      <c r="U213" s="154">
        <f t="shared" si="661"/>
        <v>0</v>
      </c>
      <c r="V213" s="155">
        <f t="shared" si="662"/>
        <v>0</v>
      </c>
      <c r="W213" s="156">
        <f t="shared" si="663"/>
        <v>0</v>
      </c>
    </row>
    <row r="214" spans="1:23" ht="10.5" hidden="1" customHeight="1" x14ac:dyDescent="0.2">
      <c r="A214" s="11"/>
      <c r="B214" s="150">
        <f>COUNTA(Spieltag!K201:AA201)</f>
        <v>0</v>
      </c>
      <c r="C214" s="166">
        <f>Spieltag!A201</f>
        <v>31</v>
      </c>
      <c r="D214" s="21" t="str">
        <f>Spieltag!B201</f>
        <v>Philipp Max</v>
      </c>
      <c r="E214" s="151" t="str">
        <f>Spieltag!C201</f>
        <v>Abwehr</v>
      </c>
      <c r="F214" s="152" t="s">
        <v>103</v>
      </c>
      <c r="G214" s="153"/>
      <c r="H214" s="154">
        <f t="shared" ref="H214" si="664">IF(G214="x",10,0)</f>
        <v>0</v>
      </c>
      <c r="I214" s="153"/>
      <c r="J214" s="154">
        <f t="shared" ref="J214" si="665">IF((I214="x"),-10,0)</f>
        <v>0</v>
      </c>
      <c r="K214" s="153"/>
      <c r="L214" s="154">
        <f t="shared" ref="L214" si="666">IF((K214="x"),-20,0)</f>
        <v>0</v>
      </c>
      <c r="M214" s="153"/>
      <c r="N214" s="154">
        <f t="shared" ref="N214" si="667">IF((M214="x"),-30,0)</f>
        <v>0</v>
      </c>
      <c r="O214" s="155">
        <f t="shared" si="653"/>
        <v>10</v>
      </c>
      <c r="P214" s="155">
        <f t="shared" si="654"/>
        <v>20</v>
      </c>
      <c r="Q214" s="155">
        <f t="shared" si="655"/>
        <v>-20</v>
      </c>
      <c r="R214" s="153"/>
      <c r="S214" s="154">
        <f t="shared" ref="S214" si="668">R214*15</f>
        <v>0</v>
      </c>
      <c r="T214" s="153"/>
      <c r="U214" s="154">
        <f t="shared" ref="U214" si="669">T214*-15</f>
        <v>0</v>
      </c>
      <c r="V214" s="155">
        <f t="shared" ref="V214" si="670">IF(AND(R214=2),10,IF(R214=3,30,IF(R214=4,50,IF(R214=5,70,0))))</f>
        <v>0</v>
      </c>
      <c r="W214" s="156">
        <f t="shared" ref="W214" si="671">IF(G214="x",H214+J214+L214+N214+O214+P214+Q214+S214+U214+V214,0)</f>
        <v>0</v>
      </c>
    </row>
    <row r="215" spans="1:23" ht="10.5" hidden="1" customHeight="1" x14ac:dyDescent="0.2">
      <c r="A215" s="11"/>
      <c r="B215" s="150">
        <f>COUNTA(Spieltag!K202:AA202)</f>
        <v>0</v>
      </c>
      <c r="C215" s="166">
        <f>Spieltag!A202</f>
        <v>34</v>
      </c>
      <c r="D215" s="21" t="str">
        <f>Spieltag!B202</f>
        <v>Nnamdi Collins</v>
      </c>
      <c r="E215" s="151" t="str">
        <f>Spieltag!C202</f>
        <v>Abwehr</v>
      </c>
      <c r="F215" s="152" t="s">
        <v>103</v>
      </c>
      <c r="G215" s="153"/>
      <c r="H215" s="154">
        <f t="shared" si="656"/>
        <v>0</v>
      </c>
      <c r="I215" s="153"/>
      <c r="J215" s="154">
        <f t="shared" si="657"/>
        <v>0</v>
      </c>
      <c r="K215" s="153"/>
      <c r="L215" s="154">
        <f t="shared" si="658"/>
        <v>0</v>
      </c>
      <c r="M215" s="153"/>
      <c r="N215" s="154">
        <f t="shared" si="659"/>
        <v>0</v>
      </c>
      <c r="O215" s="155">
        <f t="shared" si="653"/>
        <v>10</v>
      </c>
      <c r="P215" s="155">
        <f t="shared" si="654"/>
        <v>20</v>
      </c>
      <c r="Q215" s="155">
        <f t="shared" si="655"/>
        <v>-20</v>
      </c>
      <c r="R215" s="153"/>
      <c r="S215" s="154">
        <f t="shared" si="660"/>
        <v>0</v>
      </c>
      <c r="T215" s="153"/>
      <c r="U215" s="154">
        <f t="shared" si="661"/>
        <v>0</v>
      </c>
      <c r="V215" s="155">
        <f t="shared" si="662"/>
        <v>0</v>
      </c>
      <c r="W215" s="156">
        <f t="shared" si="663"/>
        <v>0</v>
      </c>
    </row>
    <row r="216" spans="1:23" ht="10.5" hidden="1" customHeight="1" x14ac:dyDescent="0.2">
      <c r="A216" s="11"/>
      <c r="B216" s="150">
        <f>COUNTA(Spieltag!K203:AA203)</f>
        <v>0</v>
      </c>
      <c r="C216" s="166">
        <f>Spieltag!A203</f>
        <v>35</v>
      </c>
      <c r="D216" s="21" t="str">
        <f>Spieltag!B203</f>
        <v>Tuta (A)</v>
      </c>
      <c r="E216" s="151" t="str">
        <f>Spieltag!C203</f>
        <v>Abwehr</v>
      </c>
      <c r="F216" s="152" t="s">
        <v>103</v>
      </c>
      <c r="G216" s="153"/>
      <c r="H216" s="154">
        <f t="shared" si="656"/>
        <v>0</v>
      </c>
      <c r="I216" s="153"/>
      <c r="J216" s="154">
        <f t="shared" si="657"/>
        <v>0</v>
      </c>
      <c r="K216" s="153"/>
      <c r="L216" s="154">
        <f t="shared" si="658"/>
        <v>0</v>
      </c>
      <c r="M216" s="153"/>
      <c r="N216" s="154">
        <f t="shared" si="659"/>
        <v>0</v>
      </c>
      <c r="O216" s="155">
        <f t="shared" si="653"/>
        <v>10</v>
      </c>
      <c r="P216" s="155">
        <f t="shared" si="654"/>
        <v>20</v>
      </c>
      <c r="Q216" s="155">
        <f t="shared" si="655"/>
        <v>-20</v>
      </c>
      <c r="R216" s="153"/>
      <c r="S216" s="154">
        <f t="shared" si="660"/>
        <v>0</v>
      </c>
      <c r="T216" s="153"/>
      <c r="U216" s="154">
        <f t="shared" si="661"/>
        <v>0</v>
      </c>
      <c r="V216" s="155">
        <f t="shared" si="662"/>
        <v>0</v>
      </c>
      <c r="W216" s="156">
        <f t="shared" si="663"/>
        <v>0</v>
      </c>
    </row>
    <row r="217" spans="1:23" ht="10.5" hidden="1" customHeight="1" x14ac:dyDescent="0.2">
      <c r="A217" s="11"/>
      <c r="B217" s="150">
        <f>COUNTA(Spieltag!K204:AA204)</f>
        <v>0</v>
      </c>
      <c r="C217" s="166">
        <f>Spieltag!A204</f>
        <v>46</v>
      </c>
      <c r="D217" s="21" t="str">
        <f>Spieltag!B204</f>
        <v>Dario Gebuhr</v>
      </c>
      <c r="E217" s="151" t="str">
        <f>Spieltag!C204</f>
        <v>Abwehr</v>
      </c>
      <c r="F217" s="152" t="s">
        <v>103</v>
      </c>
      <c r="G217" s="153"/>
      <c r="H217" s="154">
        <f t="shared" si="656"/>
        <v>0</v>
      </c>
      <c r="I217" s="153"/>
      <c r="J217" s="154">
        <f t="shared" si="657"/>
        <v>0</v>
      </c>
      <c r="K217" s="153"/>
      <c r="L217" s="154">
        <f t="shared" si="658"/>
        <v>0</v>
      </c>
      <c r="M217" s="153"/>
      <c r="N217" s="154">
        <f t="shared" si="659"/>
        <v>0</v>
      </c>
      <c r="O217" s="155">
        <f t="shared" si="653"/>
        <v>10</v>
      </c>
      <c r="P217" s="155">
        <f t="shared" si="654"/>
        <v>20</v>
      </c>
      <c r="Q217" s="155">
        <f t="shared" si="655"/>
        <v>-20</v>
      </c>
      <c r="R217" s="153"/>
      <c r="S217" s="154">
        <f t="shared" si="660"/>
        <v>0</v>
      </c>
      <c r="T217" s="153"/>
      <c r="U217" s="154">
        <f t="shared" si="661"/>
        <v>0</v>
      </c>
      <c r="V217" s="155">
        <f t="shared" si="662"/>
        <v>0</v>
      </c>
      <c r="W217" s="156">
        <f t="shared" si="663"/>
        <v>0</v>
      </c>
    </row>
    <row r="218" spans="1:23" ht="10.5" hidden="1" customHeight="1" x14ac:dyDescent="0.2">
      <c r="A218" s="11"/>
      <c r="B218" s="150">
        <f>COUNTA(Spieltag!K205:AA205)</f>
        <v>0</v>
      </c>
      <c r="C218" s="166">
        <f>Spieltag!A205</f>
        <v>47</v>
      </c>
      <c r="D218" s="21" t="str">
        <f>Spieltag!B205</f>
        <v>Elias Baum</v>
      </c>
      <c r="E218" s="151" t="str">
        <f>Spieltag!C205</f>
        <v>Abwehr</v>
      </c>
      <c r="F218" s="152" t="s">
        <v>103</v>
      </c>
      <c r="G218" s="153"/>
      <c r="H218" s="154">
        <f t="shared" si="656"/>
        <v>0</v>
      </c>
      <c r="I218" s="153"/>
      <c r="J218" s="154">
        <f t="shared" si="657"/>
        <v>0</v>
      </c>
      <c r="K218" s="153"/>
      <c r="L218" s="154">
        <f t="shared" si="658"/>
        <v>0</v>
      </c>
      <c r="M218" s="153"/>
      <c r="N218" s="154">
        <f t="shared" si="659"/>
        <v>0</v>
      </c>
      <c r="O218" s="155">
        <f t="shared" si="653"/>
        <v>10</v>
      </c>
      <c r="P218" s="155">
        <f t="shared" si="654"/>
        <v>20</v>
      </c>
      <c r="Q218" s="155">
        <f t="shared" si="655"/>
        <v>-20</v>
      </c>
      <c r="R218" s="153"/>
      <c r="S218" s="154">
        <f t="shared" si="660"/>
        <v>0</v>
      </c>
      <c r="T218" s="153"/>
      <c r="U218" s="154">
        <f t="shared" si="661"/>
        <v>0</v>
      </c>
      <c r="V218" s="155">
        <f t="shared" si="662"/>
        <v>0</v>
      </c>
      <c r="W218" s="156">
        <f t="shared" si="663"/>
        <v>0</v>
      </c>
    </row>
    <row r="219" spans="1:23" ht="10.5" hidden="1" customHeight="1" x14ac:dyDescent="0.2">
      <c r="A219" s="11"/>
      <c r="B219" s="150">
        <f>COUNTA(Spieltag!K206:AA206)</f>
        <v>0</v>
      </c>
      <c r="C219" s="166">
        <f>Spieltag!A206</f>
        <v>8</v>
      </c>
      <c r="D219" s="21" t="str">
        <f>Spieltag!B206</f>
        <v>Farès Chaibi (A)</v>
      </c>
      <c r="E219" s="151" t="str">
        <f>Spieltag!C206</f>
        <v>Mittelfeld</v>
      </c>
      <c r="F219" s="152" t="s">
        <v>103</v>
      </c>
      <c r="G219" s="153"/>
      <c r="H219" s="154">
        <f>IF(G219="x",10,0)</f>
        <v>0</v>
      </c>
      <c r="I219" s="153"/>
      <c r="J219" s="154">
        <f>IF((I219="x"),-10,0)</f>
        <v>0</v>
      </c>
      <c r="K219" s="153"/>
      <c r="L219" s="154">
        <f>IF((K219="x"),-20,0)</f>
        <v>0</v>
      </c>
      <c r="M219" s="153"/>
      <c r="N219" s="154">
        <f>IF((M219="x"),-30,0)</f>
        <v>0</v>
      </c>
      <c r="O219" s="155">
        <f t="shared" ref="O219:O230" si="672">IF(AND($V$9&gt;$W$9),20,IF($V$9=$W$9,10,0))</f>
        <v>10</v>
      </c>
      <c r="P219" s="155">
        <f t="shared" ref="P219:P230" si="673">IF(($V$9&lt;&gt;0),$V$9*10,-5)</f>
        <v>20</v>
      </c>
      <c r="Q219" s="155">
        <f t="shared" ref="Q219:Q230" si="674">IF(($W$9&lt;&gt;0),$W$9*-10,10)</f>
        <v>-20</v>
      </c>
      <c r="R219" s="153"/>
      <c r="S219" s="154">
        <f>R219*10</f>
        <v>0</v>
      </c>
      <c r="T219" s="153"/>
      <c r="U219" s="154">
        <f>T219*-15</f>
        <v>0</v>
      </c>
      <c r="V219" s="155">
        <f>IF(AND(R219=2),10,IF(R219=3,30,IF(R219=4,50,IF(R219=5,70,0))))</f>
        <v>0</v>
      </c>
      <c r="W219" s="156">
        <f>IF(G219="x",H219+J219+L219+N219+O219+P219+Q219+S219+U219+V219,0)</f>
        <v>0</v>
      </c>
    </row>
    <row r="220" spans="1:23" ht="10.5" hidden="1" customHeight="1" x14ac:dyDescent="0.2">
      <c r="A220" s="11"/>
      <c r="B220" s="150">
        <f>COUNTA(Spieltag!K207:AA207)</f>
        <v>0</v>
      </c>
      <c r="C220" s="166">
        <f>Spieltag!A207</f>
        <v>15</v>
      </c>
      <c r="D220" s="21" t="str">
        <f>Spieltag!B207</f>
        <v>Ellyes Skhiri (A)</v>
      </c>
      <c r="E220" s="151" t="str">
        <f>Spieltag!C207</f>
        <v>Mittelfeld</v>
      </c>
      <c r="F220" s="152" t="s">
        <v>103</v>
      </c>
      <c r="G220" s="153"/>
      <c r="H220" s="154">
        <f t="shared" ref="H220:H226" si="675">IF(G220="x",10,0)</f>
        <v>0</v>
      </c>
      <c r="I220" s="153"/>
      <c r="J220" s="154">
        <f t="shared" ref="J220:J226" si="676">IF((I220="x"),-10,0)</f>
        <v>0</v>
      </c>
      <c r="K220" s="153"/>
      <c r="L220" s="154">
        <f t="shared" ref="L220:L226" si="677">IF((K220="x"),-20,0)</f>
        <v>0</v>
      </c>
      <c r="M220" s="153"/>
      <c r="N220" s="154">
        <f t="shared" ref="N220:N226" si="678">IF((M220="x"),-30,0)</f>
        <v>0</v>
      </c>
      <c r="O220" s="155">
        <f t="shared" si="672"/>
        <v>10</v>
      </c>
      <c r="P220" s="155">
        <f t="shared" si="673"/>
        <v>20</v>
      </c>
      <c r="Q220" s="155">
        <f t="shared" si="674"/>
        <v>-20</v>
      </c>
      <c r="R220" s="153"/>
      <c r="S220" s="154">
        <f t="shared" ref="S220:S226" si="679">R220*10</f>
        <v>0</v>
      </c>
      <c r="T220" s="153"/>
      <c r="U220" s="154">
        <f t="shared" ref="U220:U226" si="680">T220*-15</f>
        <v>0</v>
      </c>
      <c r="V220" s="155">
        <f t="shared" ref="V220:V226" si="681">IF(AND(R220=2),10,IF(R220=3,30,IF(R220=4,50,IF(R220=5,70,0))))</f>
        <v>0</v>
      </c>
      <c r="W220" s="156">
        <f t="shared" ref="W220:W226" si="682">IF(G220="x",H220+J220+L220+N220+O220+P220+Q220+S220+U220+V220,0)</f>
        <v>0</v>
      </c>
    </row>
    <row r="221" spans="1:23" ht="10.5" hidden="1" customHeight="1" x14ac:dyDescent="0.2">
      <c r="A221" s="11"/>
      <c r="B221" s="150">
        <f>COUNTA(Spieltag!K208:AA208)</f>
        <v>0</v>
      </c>
      <c r="C221" s="166">
        <f>Spieltag!A208</f>
        <v>16</v>
      </c>
      <c r="D221" s="21" t="str">
        <f>Spieltag!B208</f>
        <v>Hugo Larsson (A)</v>
      </c>
      <c r="E221" s="151" t="str">
        <f>Spieltag!C208</f>
        <v>Mittelfeld</v>
      </c>
      <c r="F221" s="152" t="s">
        <v>103</v>
      </c>
      <c r="G221" s="153"/>
      <c r="H221" s="154">
        <f t="shared" si="675"/>
        <v>0</v>
      </c>
      <c r="I221" s="153"/>
      <c r="J221" s="154">
        <f t="shared" si="676"/>
        <v>0</v>
      </c>
      <c r="K221" s="153"/>
      <c r="L221" s="154">
        <f t="shared" si="677"/>
        <v>0</v>
      </c>
      <c r="M221" s="153"/>
      <c r="N221" s="154">
        <f t="shared" si="678"/>
        <v>0</v>
      </c>
      <c r="O221" s="155">
        <f t="shared" si="672"/>
        <v>10</v>
      </c>
      <c r="P221" s="155">
        <f t="shared" si="673"/>
        <v>20</v>
      </c>
      <c r="Q221" s="155">
        <f t="shared" si="674"/>
        <v>-20</v>
      </c>
      <c r="R221" s="153"/>
      <c r="S221" s="154">
        <f t="shared" si="679"/>
        <v>0</v>
      </c>
      <c r="T221" s="153"/>
      <c r="U221" s="154">
        <f t="shared" si="680"/>
        <v>0</v>
      </c>
      <c r="V221" s="155">
        <f t="shared" si="681"/>
        <v>0</v>
      </c>
      <c r="W221" s="156">
        <f t="shared" si="682"/>
        <v>0</v>
      </c>
    </row>
    <row r="222" spans="1:23" ht="10.5" hidden="1" customHeight="1" x14ac:dyDescent="0.2">
      <c r="A222" s="11"/>
      <c r="B222" s="150">
        <f>COUNTA(Spieltag!K209:AA209)</f>
        <v>0</v>
      </c>
      <c r="C222" s="166">
        <f>Spieltag!A209</f>
        <v>17</v>
      </c>
      <c r="D222" s="21" t="str">
        <f>Spieltag!B209</f>
        <v>Sebastian Rode</v>
      </c>
      <c r="E222" s="151" t="str">
        <f>Spieltag!C209</f>
        <v>Mittelfeld</v>
      </c>
      <c r="F222" s="152" t="s">
        <v>103</v>
      </c>
      <c r="G222" s="153"/>
      <c r="H222" s="154">
        <f t="shared" si="675"/>
        <v>0</v>
      </c>
      <c r="I222" s="153"/>
      <c r="J222" s="154">
        <f t="shared" si="676"/>
        <v>0</v>
      </c>
      <c r="K222" s="153"/>
      <c r="L222" s="154">
        <f t="shared" si="677"/>
        <v>0</v>
      </c>
      <c r="M222" s="153"/>
      <c r="N222" s="154">
        <f t="shared" si="678"/>
        <v>0</v>
      </c>
      <c r="O222" s="155">
        <f t="shared" si="672"/>
        <v>10</v>
      </c>
      <c r="P222" s="155">
        <f t="shared" si="673"/>
        <v>20</v>
      </c>
      <c r="Q222" s="155">
        <f t="shared" si="674"/>
        <v>-20</v>
      </c>
      <c r="R222" s="153"/>
      <c r="S222" s="154">
        <f t="shared" si="679"/>
        <v>0</v>
      </c>
      <c r="T222" s="153"/>
      <c r="U222" s="154">
        <f t="shared" si="680"/>
        <v>0</v>
      </c>
      <c r="V222" s="155">
        <f t="shared" si="681"/>
        <v>0</v>
      </c>
      <c r="W222" s="156">
        <f t="shared" si="682"/>
        <v>0</v>
      </c>
    </row>
    <row r="223" spans="1:23" ht="10.5" hidden="1" customHeight="1" x14ac:dyDescent="0.2">
      <c r="A223" s="11"/>
      <c r="B223" s="150">
        <f>COUNTA(Spieltag!K210:AA210)</f>
        <v>0</v>
      </c>
      <c r="C223" s="166">
        <f>Spieltag!A210</f>
        <v>22</v>
      </c>
      <c r="D223" s="21" t="str">
        <f>Spieltag!B210</f>
        <v>Timothy Chandler</v>
      </c>
      <c r="E223" s="151" t="str">
        <f>Spieltag!C210</f>
        <v>Mittelfeld</v>
      </c>
      <c r="F223" s="152" t="s">
        <v>103</v>
      </c>
      <c r="G223" s="153"/>
      <c r="H223" s="154">
        <f t="shared" si="675"/>
        <v>0</v>
      </c>
      <c r="I223" s="153"/>
      <c r="J223" s="154">
        <f t="shared" si="676"/>
        <v>0</v>
      </c>
      <c r="K223" s="153"/>
      <c r="L223" s="154">
        <f t="shared" si="677"/>
        <v>0</v>
      </c>
      <c r="M223" s="153"/>
      <c r="N223" s="154">
        <f t="shared" si="678"/>
        <v>0</v>
      </c>
      <c r="O223" s="155">
        <f t="shared" si="672"/>
        <v>10</v>
      </c>
      <c r="P223" s="155">
        <f t="shared" si="673"/>
        <v>20</v>
      </c>
      <c r="Q223" s="155">
        <f t="shared" si="674"/>
        <v>-20</v>
      </c>
      <c r="R223" s="153"/>
      <c r="S223" s="154">
        <f t="shared" si="679"/>
        <v>0</v>
      </c>
      <c r="T223" s="153"/>
      <c r="U223" s="154">
        <f t="shared" si="680"/>
        <v>0</v>
      </c>
      <c r="V223" s="155">
        <f t="shared" si="681"/>
        <v>0</v>
      </c>
      <c r="W223" s="156">
        <f t="shared" si="682"/>
        <v>0</v>
      </c>
    </row>
    <row r="224" spans="1:23" ht="10.5" hidden="1" customHeight="1" x14ac:dyDescent="0.2">
      <c r="A224" s="11"/>
      <c r="B224" s="150">
        <f>COUNTA(Spieltag!K211:AA211)</f>
        <v>0</v>
      </c>
      <c r="C224" s="166">
        <f>Spieltag!A211</f>
        <v>25</v>
      </c>
      <c r="D224" s="21" t="str">
        <f>Spieltag!B211</f>
        <v>Donny van de Beek (A)</v>
      </c>
      <c r="E224" s="151" t="str">
        <f>Spieltag!C211</f>
        <v>Mittelfeld</v>
      </c>
      <c r="F224" s="152" t="s">
        <v>103</v>
      </c>
      <c r="G224" s="153"/>
      <c r="H224" s="154">
        <f t="shared" ref="H224" si="683">IF(G224="x",10,0)</f>
        <v>0</v>
      </c>
      <c r="I224" s="153"/>
      <c r="J224" s="154">
        <f t="shared" ref="J224" si="684">IF((I224="x"),-10,0)</f>
        <v>0</v>
      </c>
      <c r="K224" s="153"/>
      <c r="L224" s="154">
        <f t="shared" ref="L224" si="685">IF((K224="x"),-20,0)</f>
        <v>0</v>
      </c>
      <c r="M224" s="153"/>
      <c r="N224" s="154">
        <f t="shared" ref="N224" si="686">IF((M224="x"),-30,0)</f>
        <v>0</v>
      </c>
      <c r="O224" s="155">
        <f t="shared" si="672"/>
        <v>10</v>
      </c>
      <c r="P224" s="155">
        <f t="shared" si="673"/>
        <v>20</v>
      </c>
      <c r="Q224" s="155">
        <f t="shared" si="674"/>
        <v>-20</v>
      </c>
      <c r="R224" s="153"/>
      <c r="S224" s="154">
        <f t="shared" ref="S224" si="687">R224*10</f>
        <v>0</v>
      </c>
      <c r="T224" s="153"/>
      <c r="U224" s="154">
        <f t="shared" ref="U224" si="688">T224*-15</f>
        <v>0</v>
      </c>
      <c r="V224" s="155">
        <f t="shared" ref="V224" si="689">IF(AND(R224=2),10,IF(R224=3,30,IF(R224=4,50,IF(R224=5,70,0))))</f>
        <v>0</v>
      </c>
      <c r="W224" s="156">
        <f t="shared" ref="W224" si="690">IF(G224="x",H224+J224+L224+N224+O224+P224+Q224+S224+U224+V224,0)</f>
        <v>0</v>
      </c>
    </row>
    <row r="225" spans="1:23" ht="10.5" hidden="1" customHeight="1" x14ac:dyDescent="0.2">
      <c r="A225" s="11"/>
      <c r="B225" s="150">
        <f>COUNTA(Spieltag!K212:AA212)</f>
        <v>0</v>
      </c>
      <c r="C225" s="166">
        <f>Spieltag!A212</f>
        <v>26</v>
      </c>
      <c r="D225" s="21" t="str">
        <f>Spieltag!B212</f>
        <v>Eric Junior Dina Ebimbe (A)</v>
      </c>
      <c r="E225" s="151" t="str">
        <f>Spieltag!C212</f>
        <v>Mittelfeld</v>
      </c>
      <c r="F225" s="152" t="s">
        <v>103</v>
      </c>
      <c r="G225" s="153"/>
      <c r="H225" s="154">
        <f t="shared" si="675"/>
        <v>0</v>
      </c>
      <c r="I225" s="153"/>
      <c r="J225" s="154">
        <f t="shared" si="676"/>
        <v>0</v>
      </c>
      <c r="K225" s="153"/>
      <c r="L225" s="154">
        <f t="shared" si="677"/>
        <v>0</v>
      </c>
      <c r="M225" s="153"/>
      <c r="N225" s="154">
        <f t="shared" si="678"/>
        <v>0</v>
      </c>
      <c r="O225" s="155">
        <f t="shared" si="672"/>
        <v>10</v>
      </c>
      <c r="P225" s="155">
        <f t="shared" si="673"/>
        <v>20</v>
      </c>
      <c r="Q225" s="155">
        <f t="shared" si="674"/>
        <v>-20</v>
      </c>
      <c r="R225" s="153"/>
      <c r="S225" s="154">
        <f t="shared" si="679"/>
        <v>0</v>
      </c>
      <c r="T225" s="153"/>
      <c r="U225" s="154">
        <f t="shared" si="680"/>
        <v>0</v>
      </c>
      <c r="V225" s="155">
        <f t="shared" si="681"/>
        <v>0</v>
      </c>
      <c r="W225" s="156">
        <f t="shared" si="682"/>
        <v>0</v>
      </c>
    </row>
    <row r="226" spans="1:23" ht="10.5" hidden="1" customHeight="1" x14ac:dyDescent="0.2">
      <c r="A226" s="11"/>
      <c r="B226" s="150">
        <f>COUNTA(Spieltag!K213:AA213)</f>
        <v>0</v>
      </c>
      <c r="C226" s="166">
        <f>Spieltag!A213</f>
        <v>27</v>
      </c>
      <c r="D226" s="21" t="str">
        <f>Spieltag!B213</f>
        <v>Mario Götze</v>
      </c>
      <c r="E226" s="151" t="str">
        <f>Spieltag!C213</f>
        <v>Mittelfeld</v>
      </c>
      <c r="F226" s="152" t="s">
        <v>103</v>
      </c>
      <c r="G226" s="153"/>
      <c r="H226" s="154">
        <f t="shared" si="675"/>
        <v>0</v>
      </c>
      <c r="I226" s="153"/>
      <c r="J226" s="154">
        <f t="shared" si="676"/>
        <v>0</v>
      </c>
      <c r="K226" s="153"/>
      <c r="L226" s="154">
        <f t="shared" si="677"/>
        <v>0</v>
      </c>
      <c r="M226" s="153"/>
      <c r="N226" s="154">
        <f t="shared" si="678"/>
        <v>0</v>
      </c>
      <c r="O226" s="155">
        <f t="shared" si="672"/>
        <v>10</v>
      </c>
      <c r="P226" s="155">
        <f t="shared" si="673"/>
        <v>20</v>
      </c>
      <c r="Q226" s="155">
        <f t="shared" si="674"/>
        <v>-20</v>
      </c>
      <c r="R226" s="153"/>
      <c r="S226" s="154">
        <f t="shared" si="679"/>
        <v>0</v>
      </c>
      <c r="T226" s="153"/>
      <c r="U226" s="154">
        <f t="shared" si="680"/>
        <v>0</v>
      </c>
      <c r="V226" s="155">
        <f t="shared" si="681"/>
        <v>0</v>
      </c>
      <c r="W226" s="156">
        <f t="shared" si="682"/>
        <v>0</v>
      </c>
    </row>
    <row r="227" spans="1:23" ht="10.5" hidden="1" customHeight="1" x14ac:dyDescent="0.2">
      <c r="A227" s="11"/>
      <c r="B227" s="150">
        <f>COUNTA(Spieltag!K214:AA214)</f>
        <v>0</v>
      </c>
      <c r="C227" s="166">
        <f>Spieltag!A214</f>
        <v>37</v>
      </c>
      <c r="D227" s="21" t="str">
        <f>Spieltag!B214</f>
        <v>Sidney Raebiger</v>
      </c>
      <c r="E227" s="151" t="str">
        <f>Spieltag!C214</f>
        <v>Mittelfeld</v>
      </c>
      <c r="F227" s="152" t="s">
        <v>103</v>
      </c>
      <c r="G227" s="153"/>
      <c r="H227" s="154">
        <f t="shared" ref="H227" si="691">IF(G227="x",10,0)</f>
        <v>0</v>
      </c>
      <c r="I227" s="153"/>
      <c r="J227" s="154">
        <f t="shared" ref="J227" si="692">IF((I227="x"),-10,0)</f>
        <v>0</v>
      </c>
      <c r="K227" s="153"/>
      <c r="L227" s="154">
        <f t="shared" ref="L227" si="693">IF((K227="x"),-20,0)</f>
        <v>0</v>
      </c>
      <c r="M227" s="153"/>
      <c r="N227" s="154">
        <f t="shared" ref="N227" si="694">IF((M227="x"),-30,0)</f>
        <v>0</v>
      </c>
      <c r="O227" s="155">
        <f t="shared" si="672"/>
        <v>10</v>
      </c>
      <c r="P227" s="155">
        <f t="shared" si="673"/>
        <v>20</v>
      </c>
      <c r="Q227" s="155">
        <f t="shared" si="674"/>
        <v>-20</v>
      </c>
      <c r="R227" s="153"/>
      <c r="S227" s="154">
        <f t="shared" ref="S227" si="695">R227*10</f>
        <v>0</v>
      </c>
      <c r="T227" s="153"/>
      <c r="U227" s="154">
        <f t="shared" ref="U227" si="696">T227*-15</f>
        <v>0</v>
      </c>
      <c r="V227" s="155">
        <f t="shared" ref="V227" si="697">IF(AND(R227=2),10,IF(R227=3,30,IF(R227=4,50,IF(R227=5,70,0))))</f>
        <v>0</v>
      </c>
      <c r="W227" s="156">
        <f t="shared" ref="W227" si="698">IF(G227="x",H227+J227+L227+N227+O227+P227+Q227+S227+U227+V227,0)</f>
        <v>0</v>
      </c>
    </row>
    <row r="228" spans="1:23" ht="10.5" hidden="1" customHeight="1" x14ac:dyDescent="0.2">
      <c r="A228" s="11"/>
      <c r="B228" s="150">
        <f>COUNTA(Spieltag!K215:AA215)</f>
        <v>0</v>
      </c>
      <c r="C228" s="166">
        <f>Spieltag!A215</f>
        <v>44</v>
      </c>
      <c r="D228" s="21" t="str">
        <f>Spieltag!B215</f>
        <v>Davis Bautista (A)</v>
      </c>
      <c r="E228" s="151" t="str">
        <f>Spieltag!C215</f>
        <v>Mittelfeld</v>
      </c>
      <c r="F228" s="152" t="s">
        <v>103</v>
      </c>
      <c r="G228" s="153"/>
      <c r="H228" s="154">
        <f t="shared" ref="H228:H229" si="699">IF(G228="x",10,0)</f>
        <v>0</v>
      </c>
      <c r="I228" s="153"/>
      <c r="J228" s="154">
        <f t="shared" ref="J228:J229" si="700">IF((I228="x"),-10,0)</f>
        <v>0</v>
      </c>
      <c r="K228" s="153"/>
      <c r="L228" s="154">
        <f t="shared" ref="L228:L229" si="701">IF((K228="x"),-20,0)</f>
        <v>0</v>
      </c>
      <c r="M228" s="153"/>
      <c r="N228" s="154">
        <f t="shared" ref="N228:N229" si="702">IF((M228="x"),-30,0)</f>
        <v>0</v>
      </c>
      <c r="O228" s="155">
        <f t="shared" si="672"/>
        <v>10</v>
      </c>
      <c r="P228" s="155">
        <f t="shared" si="673"/>
        <v>20</v>
      </c>
      <c r="Q228" s="155">
        <f t="shared" si="674"/>
        <v>-20</v>
      </c>
      <c r="R228" s="153"/>
      <c r="S228" s="154">
        <f t="shared" ref="S228:S229" si="703">R228*10</f>
        <v>0</v>
      </c>
      <c r="T228" s="153"/>
      <c r="U228" s="154">
        <f t="shared" ref="U228:U229" si="704">T228*-15</f>
        <v>0</v>
      </c>
      <c r="V228" s="155">
        <f t="shared" ref="V228:V229" si="705">IF(AND(R228=2),10,IF(R228=3,30,IF(R228=4,50,IF(R228=5,70,0))))</f>
        <v>0</v>
      </c>
      <c r="W228" s="156">
        <f t="shared" ref="W228:W229" si="706">IF(G228="x",H228+J228+L228+N228+O228+P228+Q228+S228+U228+V228,0)</f>
        <v>0</v>
      </c>
    </row>
    <row r="229" spans="1:23" ht="10.5" hidden="1" customHeight="1" x14ac:dyDescent="0.2">
      <c r="A229" s="11"/>
      <c r="B229" s="150">
        <f>COUNTA(Spieltag!K216:AA216)</f>
        <v>0</v>
      </c>
      <c r="C229" s="166">
        <f>Spieltag!A216</f>
        <v>45</v>
      </c>
      <c r="D229" s="21" t="str">
        <f>Spieltag!B216</f>
        <v>Mehdi Loune</v>
      </c>
      <c r="E229" s="151" t="str">
        <f>Spieltag!C216</f>
        <v>Mittelfeld</v>
      </c>
      <c r="F229" s="152" t="s">
        <v>103</v>
      </c>
      <c r="G229" s="153"/>
      <c r="H229" s="154">
        <f t="shared" si="699"/>
        <v>0</v>
      </c>
      <c r="I229" s="153"/>
      <c r="J229" s="154">
        <f t="shared" si="700"/>
        <v>0</v>
      </c>
      <c r="K229" s="153"/>
      <c r="L229" s="154">
        <f t="shared" si="701"/>
        <v>0</v>
      </c>
      <c r="M229" s="153"/>
      <c r="N229" s="154">
        <f t="shared" si="702"/>
        <v>0</v>
      </c>
      <c r="O229" s="155">
        <f t="shared" si="672"/>
        <v>10</v>
      </c>
      <c r="P229" s="155">
        <f t="shared" si="673"/>
        <v>20</v>
      </c>
      <c r="Q229" s="155">
        <f t="shared" si="674"/>
        <v>-20</v>
      </c>
      <c r="R229" s="153"/>
      <c r="S229" s="154">
        <f t="shared" si="703"/>
        <v>0</v>
      </c>
      <c r="T229" s="153"/>
      <c r="U229" s="154">
        <f t="shared" si="704"/>
        <v>0</v>
      </c>
      <c r="V229" s="155">
        <f t="shared" si="705"/>
        <v>0</v>
      </c>
      <c r="W229" s="156">
        <f t="shared" si="706"/>
        <v>0</v>
      </c>
    </row>
    <row r="230" spans="1:23" ht="10.5" hidden="1" customHeight="1" x14ac:dyDescent="0.2">
      <c r="A230" s="11"/>
      <c r="B230" s="150">
        <f>COUNTA(Spieltag!K217:AA217)</f>
        <v>0</v>
      </c>
      <c r="C230" s="166">
        <f>Spieltag!A217</f>
        <v>49</v>
      </c>
      <c r="D230" s="21" t="str">
        <f>Spieltag!B217</f>
        <v>Harpreet Ghotra</v>
      </c>
      <c r="E230" s="151" t="str">
        <f>Spieltag!C217</f>
        <v>Mittelfeld</v>
      </c>
      <c r="F230" s="152" t="s">
        <v>103</v>
      </c>
      <c r="G230" s="153"/>
      <c r="H230" s="154">
        <f t="shared" ref="H230" si="707">IF(G230="x",10,0)</f>
        <v>0</v>
      </c>
      <c r="I230" s="153"/>
      <c r="J230" s="154">
        <f t="shared" ref="J230" si="708">IF((I230="x"),-10,0)</f>
        <v>0</v>
      </c>
      <c r="K230" s="153"/>
      <c r="L230" s="154">
        <f t="shared" ref="L230" si="709">IF((K230="x"),-20,0)</f>
        <v>0</v>
      </c>
      <c r="M230" s="153"/>
      <c r="N230" s="154">
        <f t="shared" ref="N230" si="710">IF((M230="x"),-30,0)</f>
        <v>0</v>
      </c>
      <c r="O230" s="155">
        <f t="shared" si="672"/>
        <v>10</v>
      </c>
      <c r="P230" s="155">
        <f t="shared" si="673"/>
        <v>20</v>
      </c>
      <c r="Q230" s="155">
        <f t="shared" si="674"/>
        <v>-20</v>
      </c>
      <c r="R230" s="153"/>
      <c r="S230" s="154">
        <f t="shared" ref="S230" si="711">R230*10</f>
        <v>0</v>
      </c>
      <c r="T230" s="153"/>
      <c r="U230" s="154">
        <f t="shared" ref="U230" si="712">T230*-15</f>
        <v>0</v>
      </c>
      <c r="V230" s="155">
        <f t="shared" ref="V230" si="713">IF(AND(R230=2),10,IF(R230=3,30,IF(R230=4,50,IF(R230=5,70,0))))</f>
        <v>0</v>
      </c>
      <c r="W230" s="156">
        <f t="shared" ref="W230" si="714">IF(G230="x",H230+J230+L230+N230+O230+P230+Q230+S230+U230+V230,0)</f>
        <v>0</v>
      </c>
    </row>
    <row r="231" spans="1:23" ht="10.5" hidden="1" customHeight="1" x14ac:dyDescent="0.2">
      <c r="A231" s="11"/>
      <c r="B231" s="150">
        <f>COUNTA(Spieltag!K218:AA218)</f>
        <v>0</v>
      </c>
      <c r="C231" s="166">
        <f>Spieltag!A218</f>
        <v>7</v>
      </c>
      <c r="D231" s="21" t="str">
        <f>Spieltag!B218</f>
        <v>Omar Marmoush (A)</v>
      </c>
      <c r="E231" s="151" t="str">
        <f>Spieltag!C218</f>
        <v>Sturm</v>
      </c>
      <c r="F231" s="152" t="s">
        <v>103</v>
      </c>
      <c r="G231" s="153"/>
      <c r="H231" s="154">
        <f t="shared" ref="H231:H232" si="715">IF(G231="x",10,0)</f>
        <v>0</v>
      </c>
      <c r="I231" s="153"/>
      <c r="J231" s="154">
        <f t="shared" ref="J231:J232" si="716">IF((I231="x"),-10,0)</f>
        <v>0</v>
      </c>
      <c r="K231" s="153"/>
      <c r="L231" s="154">
        <f t="shared" ref="L231:L232" si="717">IF((K231="x"),-20,0)</f>
        <v>0</v>
      </c>
      <c r="M231" s="153"/>
      <c r="N231" s="154">
        <f t="shared" ref="N231:N232" si="718">IF((M231="x"),-30,0)</f>
        <v>0</v>
      </c>
      <c r="O231" s="155">
        <f t="shared" ref="O231:O237" si="719">IF(AND($V$9&gt;$W$9),20,IF($V$9=$W$9,10,0))</f>
        <v>10</v>
      </c>
      <c r="P231" s="155">
        <f t="shared" ref="P231:P237" si="720">IF(($V$9&lt;&gt;0),$V$9*10,-5)</f>
        <v>20</v>
      </c>
      <c r="Q231" s="155">
        <f t="shared" ref="Q231:Q237" si="721">IF(($W$9&lt;&gt;0),$W$9*-10,5)</f>
        <v>-20</v>
      </c>
      <c r="R231" s="153"/>
      <c r="S231" s="154">
        <f t="shared" ref="S231:S232" si="722">R231*10</f>
        <v>0</v>
      </c>
      <c r="T231" s="153"/>
      <c r="U231" s="154">
        <f t="shared" ref="U231:U232" si="723">T231*-15</f>
        <v>0</v>
      </c>
      <c r="V231" s="155">
        <f t="shared" ref="V231:V232" si="724">IF(AND(R231=2),10,IF(R231=3,30,IF(R231=4,50,IF(R231=5,70,0))))</f>
        <v>0</v>
      </c>
      <c r="W231" s="156">
        <f t="shared" ref="W231:W232" si="725">IF(G231="x",H231+J231+L231+N231+O231+P231+Q231+S231+U231+V231,0)</f>
        <v>0</v>
      </c>
    </row>
    <row r="232" spans="1:23" ht="10.5" hidden="1" customHeight="1" x14ac:dyDescent="0.2">
      <c r="A232" s="11"/>
      <c r="B232" s="150">
        <f>COUNTA(Spieltag!K219:AA219)</f>
        <v>0</v>
      </c>
      <c r="C232" s="166">
        <f>Spieltag!A219</f>
        <v>9</v>
      </c>
      <c r="D232" s="21" t="str">
        <f>Spieltag!B219</f>
        <v>Saša Kalajdžić (A)</v>
      </c>
      <c r="E232" s="151" t="str">
        <f>Spieltag!C219</f>
        <v>Sturm</v>
      </c>
      <c r="F232" s="152" t="s">
        <v>103</v>
      </c>
      <c r="G232" s="153"/>
      <c r="H232" s="154">
        <f t="shared" si="715"/>
        <v>0</v>
      </c>
      <c r="I232" s="153"/>
      <c r="J232" s="154">
        <f t="shared" si="716"/>
        <v>0</v>
      </c>
      <c r="K232" s="153"/>
      <c r="L232" s="154">
        <f t="shared" si="717"/>
        <v>0</v>
      </c>
      <c r="M232" s="153"/>
      <c r="N232" s="154">
        <f t="shared" si="718"/>
        <v>0</v>
      </c>
      <c r="O232" s="155">
        <f t="shared" si="719"/>
        <v>10</v>
      </c>
      <c r="P232" s="155">
        <f t="shared" si="720"/>
        <v>20</v>
      </c>
      <c r="Q232" s="155">
        <f t="shared" si="721"/>
        <v>-20</v>
      </c>
      <c r="R232" s="153"/>
      <c r="S232" s="154">
        <f t="shared" si="722"/>
        <v>0</v>
      </c>
      <c r="T232" s="153"/>
      <c r="U232" s="154">
        <f t="shared" si="723"/>
        <v>0</v>
      </c>
      <c r="V232" s="155">
        <f t="shared" si="724"/>
        <v>0</v>
      </c>
      <c r="W232" s="156">
        <f t="shared" si="725"/>
        <v>0</v>
      </c>
    </row>
    <row r="233" spans="1:23" ht="10.5" hidden="1" customHeight="1" x14ac:dyDescent="0.2">
      <c r="A233" s="11"/>
      <c r="B233" s="150">
        <f>COUNTA(Spieltag!K220:AA220)</f>
        <v>0</v>
      </c>
      <c r="C233" s="166">
        <f>Spieltag!A220</f>
        <v>11</v>
      </c>
      <c r="D233" s="21" t="str">
        <f>Spieltag!B220</f>
        <v>Hugo Ekitike (A)</v>
      </c>
      <c r="E233" s="151" t="str">
        <f>Spieltag!C220</f>
        <v>Sturm</v>
      </c>
      <c r="F233" s="152" t="s">
        <v>103</v>
      </c>
      <c r="G233" s="153"/>
      <c r="H233" s="154">
        <f t="shared" ref="H233" si="726">IF(G233="x",10,0)</f>
        <v>0</v>
      </c>
      <c r="I233" s="153"/>
      <c r="J233" s="154">
        <f t="shared" ref="J233" si="727">IF((I233="x"),-10,0)</f>
        <v>0</v>
      </c>
      <c r="K233" s="153"/>
      <c r="L233" s="154">
        <f t="shared" ref="L233" si="728">IF((K233="x"),-20,0)</f>
        <v>0</v>
      </c>
      <c r="M233" s="153"/>
      <c r="N233" s="154">
        <f t="shared" ref="N233" si="729">IF((M233="x"),-30,0)</f>
        <v>0</v>
      </c>
      <c r="O233" s="155">
        <f t="shared" si="719"/>
        <v>10</v>
      </c>
      <c r="P233" s="155">
        <f t="shared" si="720"/>
        <v>20</v>
      </c>
      <c r="Q233" s="155">
        <f t="shared" si="721"/>
        <v>-20</v>
      </c>
      <c r="R233" s="153"/>
      <c r="S233" s="154">
        <f t="shared" ref="S233" si="730">R233*10</f>
        <v>0</v>
      </c>
      <c r="T233" s="153"/>
      <c r="U233" s="154">
        <f t="shared" ref="U233" si="731">T233*-15</f>
        <v>0</v>
      </c>
      <c r="V233" s="155">
        <f t="shared" ref="V233" si="732">IF(AND(R233=2),10,IF(R233=3,30,IF(R233=4,50,IF(R233=5,70,0))))</f>
        <v>0</v>
      </c>
      <c r="W233" s="156">
        <f t="shared" ref="W233" si="733">IF(G233="x",H233+J233+L233+N233+O233+P233+Q233+S233+U233+V233,0)</f>
        <v>0</v>
      </c>
    </row>
    <row r="234" spans="1:23" ht="10.5" hidden="1" customHeight="1" x14ac:dyDescent="0.2">
      <c r="A234" s="11"/>
      <c r="B234" s="150">
        <f>COUNTA(Spieltag!K221:AA221)</f>
        <v>0</v>
      </c>
      <c r="C234" s="166">
        <f>Spieltag!A221</f>
        <v>19</v>
      </c>
      <c r="D234" s="21" t="str">
        <f>Spieltag!B221</f>
        <v>Jean-Matteo Bahoya (A)</v>
      </c>
      <c r="E234" s="151" t="str">
        <f>Spieltag!C221</f>
        <v>Sturm</v>
      </c>
      <c r="F234" s="152" t="s">
        <v>103</v>
      </c>
      <c r="G234" s="153"/>
      <c r="H234" s="154">
        <f t="shared" ref="H234" si="734">IF(G234="x",10,0)</f>
        <v>0</v>
      </c>
      <c r="I234" s="153"/>
      <c r="J234" s="154">
        <f t="shared" ref="J234" si="735">IF((I234="x"),-10,0)</f>
        <v>0</v>
      </c>
      <c r="K234" s="153"/>
      <c r="L234" s="154">
        <f t="shared" ref="L234" si="736">IF((K234="x"),-20,0)</f>
        <v>0</v>
      </c>
      <c r="M234" s="153"/>
      <c r="N234" s="154">
        <f t="shared" ref="N234" si="737">IF((M234="x"),-30,0)</f>
        <v>0</v>
      </c>
      <c r="O234" s="155">
        <f t="shared" si="719"/>
        <v>10</v>
      </c>
      <c r="P234" s="155">
        <f t="shared" si="720"/>
        <v>20</v>
      </c>
      <c r="Q234" s="155">
        <f t="shared" si="721"/>
        <v>-20</v>
      </c>
      <c r="R234" s="153"/>
      <c r="S234" s="154">
        <f t="shared" ref="S234" si="738">R234*10</f>
        <v>0</v>
      </c>
      <c r="T234" s="153"/>
      <c r="U234" s="154">
        <f t="shared" ref="U234" si="739">T234*-15</f>
        <v>0</v>
      </c>
      <c r="V234" s="155">
        <f t="shared" ref="V234" si="740">IF(AND(R234=2),10,IF(R234=3,30,IF(R234=4,50,IF(R234=5,70,0))))</f>
        <v>0</v>
      </c>
      <c r="W234" s="156">
        <f t="shared" ref="W234" si="741">IF(G234="x",H234+J234+L234+N234+O234+P234+Q234+S234+U234+V234,0)</f>
        <v>0</v>
      </c>
    </row>
    <row r="235" spans="1:23" ht="10.5" hidden="1" customHeight="1" x14ac:dyDescent="0.2">
      <c r="A235" s="11"/>
      <c r="B235" s="150">
        <f>COUNTA(Spieltag!K222:AA222)</f>
        <v>0</v>
      </c>
      <c r="C235" s="166">
        <f>Spieltag!A222</f>
        <v>36</v>
      </c>
      <c r="D235" s="21" t="str">
        <f>Spieltag!B222</f>
        <v>Ansgar Knauff</v>
      </c>
      <c r="E235" s="151" t="str">
        <f>Spieltag!C222</f>
        <v>Sturm</v>
      </c>
      <c r="F235" s="152" t="s">
        <v>103</v>
      </c>
      <c r="G235" s="153"/>
      <c r="H235" s="154">
        <f t="shared" ref="H235:H237" si="742">IF(G235="x",10,0)</f>
        <v>0</v>
      </c>
      <c r="I235" s="153"/>
      <c r="J235" s="154">
        <f t="shared" ref="J235:J237" si="743">IF((I235="x"),-10,0)</f>
        <v>0</v>
      </c>
      <c r="K235" s="153"/>
      <c r="L235" s="154">
        <f t="shared" ref="L235:L237" si="744">IF((K235="x"),-20,0)</f>
        <v>0</v>
      </c>
      <c r="M235" s="153"/>
      <c r="N235" s="154">
        <f t="shared" ref="N235:N237" si="745">IF((M235="x"),-30,0)</f>
        <v>0</v>
      </c>
      <c r="O235" s="155">
        <f t="shared" si="719"/>
        <v>10</v>
      </c>
      <c r="P235" s="155">
        <f t="shared" si="720"/>
        <v>20</v>
      </c>
      <c r="Q235" s="155">
        <f t="shared" si="721"/>
        <v>-20</v>
      </c>
      <c r="R235" s="153"/>
      <c r="S235" s="154">
        <f t="shared" ref="S235:S237" si="746">R235*10</f>
        <v>0</v>
      </c>
      <c r="T235" s="153"/>
      <c r="U235" s="154">
        <f t="shared" ref="U235:U237" si="747">T235*-15</f>
        <v>0</v>
      </c>
      <c r="V235" s="155">
        <f t="shared" ref="V235:V237" si="748">IF(AND(R235=2),10,IF(R235=3,30,IF(R235=4,50,IF(R235=5,70,0))))</f>
        <v>0</v>
      </c>
      <c r="W235" s="156">
        <f t="shared" ref="W235:W237" si="749">IF(G235="x",H235+J235+L235+N235+O235+P235+Q235+S235+U235+V235,0)</f>
        <v>0</v>
      </c>
    </row>
    <row r="236" spans="1:23" ht="10.5" hidden="1" customHeight="1" x14ac:dyDescent="0.2">
      <c r="A236" s="11"/>
      <c r="B236" s="150">
        <f>COUNTA(Spieltag!K223:AA223)</f>
        <v>0</v>
      </c>
      <c r="C236" s="166">
        <f>Spieltag!A223</f>
        <v>43</v>
      </c>
      <c r="D236" s="21" t="str">
        <f>Spieltag!B223</f>
        <v>Noel Futkeu</v>
      </c>
      <c r="E236" s="151" t="str">
        <f>Spieltag!C223</f>
        <v>Sturm</v>
      </c>
      <c r="F236" s="152" t="s">
        <v>103</v>
      </c>
      <c r="G236" s="153"/>
      <c r="H236" s="154">
        <f t="shared" ref="H236" si="750">IF(G236="x",10,0)</f>
        <v>0</v>
      </c>
      <c r="I236" s="153"/>
      <c r="J236" s="154">
        <f t="shared" ref="J236" si="751">IF((I236="x"),-10,0)</f>
        <v>0</v>
      </c>
      <c r="K236" s="153"/>
      <c r="L236" s="154">
        <f t="shared" ref="L236" si="752">IF((K236="x"),-20,0)</f>
        <v>0</v>
      </c>
      <c r="M236" s="153"/>
      <c r="N236" s="154">
        <f t="shared" ref="N236" si="753">IF((M236="x"),-30,0)</f>
        <v>0</v>
      </c>
      <c r="O236" s="155">
        <f t="shared" si="719"/>
        <v>10</v>
      </c>
      <c r="P236" s="155">
        <f t="shared" si="720"/>
        <v>20</v>
      </c>
      <c r="Q236" s="155">
        <f t="shared" si="721"/>
        <v>-20</v>
      </c>
      <c r="R236" s="153"/>
      <c r="S236" s="154">
        <f t="shared" ref="S236" si="754">R236*10</f>
        <v>0</v>
      </c>
      <c r="T236" s="153"/>
      <c r="U236" s="154">
        <f t="shared" ref="U236" si="755">T236*-15</f>
        <v>0</v>
      </c>
      <c r="V236" s="155">
        <f t="shared" ref="V236" si="756">IF(AND(R236=2),10,IF(R236=3,30,IF(R236=4,50,IF(R236=5,70,0))))</f>
        <v>0</v>
      </c>
      <c r="W236" s="156">
        <f t="shared" ref="W236" si="757">IF(G236="x",H236+J236+L236+N236+O236+P236+Q236+S236+U236+V236,0)</f>
        <v>0</v>
      </c>
    </row>
    <row r="237" spans="1:23" ht="10.5" hidden="1" customHeight="1" x14ac:dyDescent="0.2">
      <c r="A237" s="11"/>
      <c r="B237" s="150">
        <f>COUNTA(Spieltag!K224:AA224)</f>
        <v>0</v>
      </c>
      <c r="C237" s="166">
        <f>Spieltag!A224</f>
        <v>48</v>
      </c>
      <c r="D237" s="21" t="str">
        <f>Spieltag!B224</f>
        <v>Nacho Ferri (A)</v>
      </c>
      <c r="E237" s="151" t="str">
        <f>Spieltag!C224</f>
        <v>Sturm</v>
      </c>
      <c r="F237" s="152" t="s">
        <v>103</v>
      </c>
      <c r="G237" s="153"/>
      <c r="H237" s="154">
        <f t="shared" si="742"/>
        <v>0</v>
      </c>
      <c r="I237" s="153"/>
      <c r="J237" s="154">
        <f t="shared" si="743"/>
        <v>0</v>
      </c>
      <c r="K237" s="153"/>
      <c r="L237" s="154">
        <f t="shared" si="744"/>
        <v>0</v>
      </c>
      <c r="M237" s="153"/>
      <c r="N237" s="154">
        <f t="shared" si="745"/>
        <v>0</v>
      </c>
      <c r="O237" s="155">
        <f t="shared" si="719"/>
        <v>10</v>
      </c>
      <c r="P237" s="155">
        <f t="shared" si="720"/>
        <v>20</v>
      </c>
      <c r="Q237" s="155">
        <f t="shared" si="721"/>
        <v>-20</v>
      </c>
      <c r="R237" s="153"/>
      <c r="S237" s="154">
        <f t="shared" si="746"/>
        <v>0</v>
      </c>
      <c r="T237" s="153"/>
      <c r="U237" s="154">
        <f t="shared" si="747"/>
        <v>0</v>
      </c>
      <c r="V237" s="155">
        <f t="shared" si="748"/>
        <v>0</v>
      </c>
      <c r="W237" s="156">
        <f t="shared" si="749"/>
        <v>0</v>
      </c>
    </row>
    <row r="238" spans="1:23" s="144" customFormat="1" ht="17.25" hidden="1" thickBot="1" x14ac:dyDescent="0.25">
      <c r="A238" s="142"/>
      <c r="B238" s="143">
        <f>SUM(B239:B265)</f>
        <v>0</v>
      </c>
      <c r="C238" s="158"/>
      <c r="D238" s="221" t="s">
        <v>31</v>
      </c>
      <c r="E238" s="221"/>
      <c r="F238" s="221"/>
      <c r="G238" s="221"/>
      <c r="H238" s="221"/>
      <c r="I238" s="221"/>
      <c r="J238" s="221"/>
      <c r="K238" s="221"/>
      <c r="L238" s="221"/>
      <c r="M238" s="221"/>
      <c r="N238" s="221"/>
      <c r="O238" s="221"/>
      <c r="P238" s="221"/>
      <c r="Q238" s="221"/>
      <c r="R238" s="221"/>
      <c r="S238" s="221"/>
      <c r="T238" s="221"/>
      <c r="U238" s="221"/>
      <c r="V238" s="221"/>
      <c r="W238" s="222"/>
    </row>
    <row r="239" spans="1:23" ht="10.5" hidden="1" customHeight="1" x14ac:dyDescent="0.2">
      <c r="A239" s="11"/>
      <c r="B239" s="149">
        <f>COUNTA(Spieltag!K226:AA226)</f>
        <v>0</v>
      </c>
      <c r="C239" s="166">
        <f>Spieltag!A226</f>
        <v>1</v>
      </c>
      <c r="D239" s="21" t="str">
        <f>Spieltag!B226</f>
        <v>Koen Casteels (A)</v>
      </c>
      <c r="E239" s="12" t="str">
        <f>Spieltag!C226</f>
        <v>Torwart</v>
      </c>
      <c r="F239" s="13" t="s">
        <v>55</v>
      </c>
      <c r="G239" s="14"/>
      <c r="H239" s="15">
        <f>IF(G239="x",10,0)</f>
        <v>0</v>
      </c>
      <c r="I239" s="14"/>
      <c r="J239" s="15">
        <f>IF((I239="x"),-10,0)</f>
        <v>0</v>
      </c>
      <c r="K239" s="14"/>
      <c r="L239" s="15">
        <f>IF((K239="x"),-20,0)</f>
        <v>0</v>
      </c>
      <c r="M239" s="14"/>
      <c r="N239" s="15">
        <f>IF((M239="x"),-30,0)</f>
        <v>0</v>
      </c>
      <c r="O239" s="16">
        <f t="shared" ref="O239:O259" si="758">IF(AND($P$11&gt;$Q$11),20,IF($P$11=$Q$11,10,0))</f>
        <v>0</v>
      </c>
      <c r="P239" s="16">
        <f t="shared" ref="P239:P259" si="759">IF(($P$11&lt;&gt;0),$P$11*10,-5)</f>
        <v>10</v>
      </c>
      <c r="Q239" s="16">
        <f>IF(($Q$11&lt;&gt;0),$Q$11*-10,20)</f>
        <v>-30</v>
      </c>
      <c r="R239" s="14"/>
      <c r="S239" s="15">
        <f>R239*20</f>
        <v>0</v>
      </c>
      <c r="T239" s="14"/>
      <c r="U239" s="15">
        <f>T239*-15</f>
        <v>0</v>
      </c>
      <c r="V239" s="16">
        <f>IF(AND(R239=2),10,IF(R239=3,30,IF(R239=4,50,IF(R239=5,70,0))))</f>
        <v>0</v>
      </c>
      <c r="W239" s="17">
        <f>IF(G239="x",H239+J239+L239+N239+O239+P239+Q239+S239+U239+V239,0)</f>
        <v>0</v>
      </c>
    </row>
    <row r="240" spans="1:23" ht="10.5" hidden="1" customHeight="1" x14ac:dyDescent="0.2">
      <c r="A240" s="11"/>
      <c r="B240" s="149">
        <f>COUNTA(Spieltag!K227:AA227)</f>
        <v>0</v>
      </c>
      <c r="C240" s="166">
        <f>Spieltag!A227</f>
        <v>12</v>
      </c>
      <c r="D240" s="21" t="str">
        <f>Spieltag!B227</f>
        <v>Pavao Pervan (A)</v>
      </c>
      <c r="E240" s="12" t="str">
        <f>Spieltag!C227</f>
        <v>Torwart</v>
      </c>
      <c r="F240" s="13" t="s">
        <v>55</v>
      </c>
      <c r="G240" s="14"/>
      <c r="H240" s="15">
        <f t="shared" ref="H240:H241" si="760">IF(G240="x",10,0)</f>
        <v>0</v>
      </c>
      <c r="I240" s="14"/>
      <c r="J240" s="15">
        <f t="shared" ref="J240:J241" si="761">IF((I240="x"),-10,0)</f>
        <v>0</v>
      </c>
      <c r="K240" s="14"/>
      <c r="L240" s="15">
        <f t="shared" ref="L240:L241" si="762">IF((K240="x"),-20,0)</f>
        <v>0</v>
      </c>
      <c r="M240" s="14"/>
      <c r="N240" s="15">
        <f t="shared" ref="N240:N241" si="763">IF((M240="x"),-30,0)</f>
        <v>0</v>
      </c>
      <c r="O240" s="16">
        <f t="shared" si="758"/>
        <v>0</v>
      </c>
      <c r="P240" s="16">
        <f t="shared" si="759"/>
        <v>10</v>
      </c>
      <c r="Q240" s="16">
        <f t="shared" ref="Q240:Q241" si="764">IF(($Q$11&lt;&gt;0),$Q$11*-10,20)</f>
        <v>-30</v>
      </c>
      <c r="R240" s="14"/>
      <c r="S240" s="15">
        <f t="shared" ref="S240:S241" si="765">R240*20</f>
        <v>0</v>
      </c>
      <c r="T240" s="14"/>
      <c r="U240" s="15">
        <f t="shared" ref="U240:U241" si="766">T240*-15</f>
        <v>0</v>
      </c>
      <c r="V240" s="16">
        <f t="shared" ref="V240:V241" si="767">IF(AND(R240=2),10,IF(R240=3,30,IF(R240=4,50,IF(R240=5,70,0))))</f>
        <v>0</v>
      </c>
      <c r="W240" s="17">
        <f t="shared" ref="W240:W241" si="768">IF(G240="x",H240+J240+L240+N240+O240+P240+Q240+S240+U240+V240,0)</f>
        <v>0</v>
      </c>
    </row>
    <row r="241" spans="1:23" ht="10.5" hidden="1" customHeight="1" x14ac:dyDescent="0.2">
      <c r="A241" s="11"/>
      <c r="B241" s="149">
        <f>COUNTA(Spieltag!K228:AA228)</f>
        <v>0</v>
      </c>
      <c r="C241" s="166">
        <f>Spieltag!A228</f>
        <v>30</v>
      </c>
      <c r="D241" s="21" t="str">
        <f>Spieltag!B228</f>
        <v>Niklas Klinger</v>
      </c>
      <c r="E241" s="12" t="str">
        <f>Spieltag!C228</f>
        <v>Torwart</v>
      </c>
      <c r="F241" s="13" t="s">
        <v>55</v>
      </c>
      <c r="G241" s="14"/>
      <c r="H241" s="15">
        <f t="shared" si="760"/>
        <v>0</v>
      </c>
      <c r="I241" s="14"/>
      <c r="J241" s="15">
        <f t="shared" si="761"/>
        <v>0</v>
      </c>
      <c r="K241" s="14"/>
      <c r="L241" s="15">
        <f t="shared" si="762"/>
        <v>0</v>
      </c>
      <c r="M241" s="14"/>
      <c r="N241" s="15">
        <f t="shared" si="763"/>
        <v>0</v>
      </c>
      <c r="O241" s="16">
        <f t="shared" si="758"/>
        <v>0</v>
      </c>
      <c r="P241" s="16">
        <f t="shared" si="759"/>
        <v>10</v>
      </c>
      <c r="Q241" s="16">
        <f t="shared" si="764"/>
        <v>-30</v>
      </c>
      <c r="R241" s="14"/>
      <c r="S241" s="15">
        <f t="shared" si="765"/>
        <v>0</v>
      </c>
      <c r="T241" s="14"/>
      <c r="U241" s="15">
        <f t="shared" si="766"/>
        <v>0</v>
      </c>
      <c r="V241" s="16">
        <f t="shared" si="767"/>
        <v>0</v>
      </c>
      <c r="W241" s="17">
        <f t="shared" si="768"/>
        <v>0</v>
      </c>
    </row>
    <row r="242" spans="1:23" ht="10.5" hidden="1" customHeight="1" x14ac:dyDescent="0.2">
      <c r="A242" s="11"/>
      <c r="B242" s="149">
        <f>COUNTA(Spieltag!K229:AA229)</f>
        <v>0</v>
      </c>
      <c r="C242" s="166">
        <f>Spieltag!A229</f>
        <v>2</v>
      </c>
      <c r="D242" s="21" t="str">
        <f>Spieltag!B229</f>
        <v>Kilian Fischer</v>
      </c>
      <c r="E242" s="12" t="str">
        <f>Spieltag!C229</f>
        <v>Abwehr</v>
      </c>
      <c r="F242" s="13" t="s">
        <v>55</v>
      </c>
      <c r="G242" s="14"/>
      <c r="H242" s="15">
        <f t="shared" ref="H242" si="769">IF(G242="x",10,0)</f>
        <v>0</v>
      </c>
      <c r="I242" s="14"/>
      <c r="J242" s="15">
        <f t="shared" ref="J242" si="770">IF((I242="x"),-10,0)</f>
        <v>0</v>
      </c>
      <c r="K242" s="14"/>
      <c r="L242" s="15">
        <f t="shared" ref="L242" si="771">IF((K242="x"),-20,0)</f>
        <v>0</v>
      </c>
      <c r="M242" s="14"/>
      <c r="N242" s="15">
        <f t="shared" ref="N242" si="772">IF((M242="x"),-30,0)</f>
        <v>0</v>
      </c>
      <c r="O242" s="16">
        <f t="shared" si="758"/>
        <v>0</v>
      </c>
      <c r="P242" s="16">
        <f t="shared" si="759"/>
        <v>10</v>
      </c>
      <c r="Q242" s="16">
        <f t="shared" ref="Q242:Q248" si="773">IF(($Q$11&lt;&gt;0),$Q$11*-10,15)</f>
        <v>-30</v>
      </c>
      <c r="R242" s="14"/>
      <c r="S242" s="15">
        <f t="shared" ref="S242" si="774">R242*15</f>
        <v>0</v>
      </c>
      <c r="T242" s="14"/>
      <c r="U242" s="15">
        <f t="shared" ref="U242" si="775">T242*-15</f>
        <v>0</v>
      </c>
      <c r="V242" s="16">
        <f t="shared" ref="V242" si="776">IF(AND(R242=2),10,IF(R242=3,30,IF(R242=4,50,IF(R242=5,70,0))))</f>
        <v>0</v>
      </c>
      <c r="W242" s="17">
        <f t="shared" ref="W242" si="777">IF(G242="x",H242+J242+L242+N242+O242+P242+Q242+S242+U242+V242,0)</f>
        <v>0</v>
      </c>
    </row>
    <row r="243" spans="1:23" ht="10.5" hidden="1" customHeight="1" x14ac:dyDescent="0.2">
      <c r="A243" s="11"/>
      <c r="B243" s="149">
        <f>COUNTA(Spieltag!K230:AA230)</f>
        <v>0</v>
      </c>
      <c r="C243" s="166">
        <f>Spieltag!A230</f>
        <v>3</v>
      </c>
      <c r="D243" s="21" t="str">
        <f>Spieltag!B230</f>
        <v>Sebastiaan Bornauw (A)</v>
      </c>
      <c r="E243" s="12" t="str">
        <f>Spieltag!C230</f>
        <v>Abwehr</v>
      </c>
      <c r="F243" s="13" t="s">
        <v>55</v>
      </c>
      <c r="G243" s="14"/>
      <c r="H243" s="15">
        <f t="shared" ref="H243:H248" si="778">IF(G243="x",10,0)</f>
        <v>0</v>
      </c>
      <c r="I243" s="14"/>
      <c r="J243" s="15">
        <f t="shared" ref="J243:J248" si="779">IF((I243="x"),-10,0)</f>
        <v>0</v>
      </c>
      <c r="K243" s="14"/>
      <c r="L243" s="15">
        <f t="shared" ref="L243:L248" si="780">IF((K243="x"),-20,0)</f>
        <v>0</v>
      </c>
      <c r="M243" s="14"/>
      <c r="N243" s="15">
        <f t="shared" ref="N243:N248" si="781">IF((M243="x"),-30,0)</f>
        <v>0</v>
      </c>
      <c r="O243" s="16">
        <f t="shared" si="758"/>
        <v>0</v>
      </c>
      <c r="P243" s="16">
        <f t="shared" si="759"/>
        <v>10</v>
      </c>
      <c r="Q243" s="16">
        <f t="shared" si="773"/>
        <v>-30</v>
      </c>
      <c r="R243" s="14"/>
      <c r="S243" s="15">
        <f t="shared" ref="S243:S248" si="782">R243*15</f>
        <v>0</v>
      </c>
      <c r="T243" s="14"/>
      <c r="U243" s="15">
        <f t="shared" ref="U243:U248" si="783">T243*-15</f>
        <v>0</v>
      </c>
      <c r="V243" s="16">
        <f t="shared" ref="V243:V248" si="784">IF(AND(R243=2),10,IF(R243=3,30,IF(R243=4,50,IF(R243=5,70,0))))</f>
        <v>0</v>
      </c>
      <c r="W243" s="17">
        <f t="shared" ref="W243:W248" si="785">IF(G243="x",H243+J243+L243+N243+O243+P243+Q243+S243+U243+V243,0)</f>
        <v>0</v>
      </c>
    </row>
    <row r="244" spans="1:23" ht="10.5" hidden="1" customHeight="1" x14ac:dyDescent="0.2">
      <c r="A244" s="11"/>
      <c r="B244" s="149">
        <f>COUNTA(Spieltag!K231:AA231)</f>
        <v>0</v>
      </c>
      <c r="C244" s="166">
        <f>Spieltag!A231</f>
        <v>4</v>
      </c>
      <c r="D244" s="21" t="str">
        <f>Spieltag!B231</f>
        <v>Maxence Lacroix (A)</v>
      </c>
      <c r="E244" s="12" t="str">
        <f>Spieltag!C231</f>
        <v>Abwehr</v>
      </c>
      <c r="F244" s="13" t="s">
        <v>55</v>
      </c>
      <c r="G244" s="14"/>
      <c r="H244" s="15">
        <f t="shared" si="778"/>
        <v>0</v>
      </c>
      <c r="I244" s="14"/>
      <c r="J244" s="15">
        <f t="shared" si="779"/>
        <v>0</v>
      </c>
      <c r="K244" s="14"/>
      <c r="L244" s="15">
        <f t="shared" si="780"/>
        <v>0</v>
      </c>
      <c r="M244" s="14"/>
      <c r="N244" s="15">
        <f t="shared" si="781"/>
        <v>0</v>
      </c>
      <c r="O244" s="16">
        <f t="shared" si="758"/>
        <v>0</v>
      </c>
      <c r="P244" s="16">
        <f t="shared" si="759"/>
        <v>10</v>
      </c>
      <c r="Q244" s="16">
        <f t="shared" si="773"/>
        <v>-30</v>
      </c>
      <c r="R244" s="14"/>
      <c r="S244" s="15">
        <f t="shared" si="782"/>
        <v>0</v>
      </c>
      <c r="T244" s="14"/>
      <c r="U244" s="15">
        <f t="shared" si="783"/>
        <v>0</v>
      </c>
      <c r="V244" s="16">
        <f t="shared" si="784"/>
        <v>0</v>
      </c>
      <c r="W244" s="17">
        <f t="shared" si="785"/>
        <v>0</v>
      </c>
    </row>
    <row r="245" spans="1:23" ht="10.5" hidden="1" customHeight="1" x14ac:dyDescent="0.2">
      <c r="A245" s="11"/>
      <c r="B245" s="149">
        <f>COUNTA(Spieltag!K232:AA232)</f>
        <v>0</v>
      </c>
      <c r="C245" s="166">
        <f>Spieltag!A232</f>
        <v>5</v>
      </c>
      <c r="D245" s="21" t="str">
        <f>Spieltag!B232</f>
        <v>Cédric Zesiger (A)</v>
      </c>
      <c r="E245" s="12" t="str">
        <f>Spieltag!C232</f>
        <v>Abwehr</v>
      </c>
      <c r="F245" s="13" t="s">
        <v>55</v>
      </c>
      <c r="G245" s="14"/>
      <c r="H245" s="15">
        <f>IF(G245="x",10,0)</f>
        <v>0</v>
      </c>
      <c r="I245" s="14"/>
      <c r="J245" s="15">
        <f>IF((I245="x"),-10,0)</f>
        <v>0</v>
      </c>
      <c r="K245" s="14"/>
      <c r="L245" s="15">
        <f>IF((K245="x"),-20,0)</f>
        <v>0</v>
      </c>
      <c r="M245" s="14"/>
      <c r="N245" s="15">
        <f>IF((M245="x"),-30,0)</f>
        <v>0</v>
      </c>
      <c r="O245" s="16">
        <f t="shared" si="758"/>
        <v>0</v>
      </c>
      <c r="P245" s="16">
        <f t="shared" si="759"/>
        <v>10</v>
      </c>
      <c r="Q245" s="16">
        <f t="shared" si="773"/>
        <v>-30</v>
      </c>
      <c r="R245" s="14"/>
      <c r="S245" s="15">
        <f>R245*15</f>
        <v>0</v>
      </c>
      <c r="T245" s="14"/>
      <c r="U245" s="15">
        <f>T245*-15</f>
        <v>0</v>
      </c>
      <c r="V245" s="16">
        <f>IF(AND(R245=2),10,IF(R245=3,30,IF(R245=4,50,IF(R245=5,70,0))))</f>
        <v>0</v>
      </c>
      <c r="W245" s="17">
        <f>IF(G245="x",H245+J245+L245+N245+O245+P245+Q245+S245+U245+V245,0)</f>
        <v>0</v>
      </c>
    </row>
    <row r="246" spans="1:23" ht="10.5" hidden="1" customHeight="1" x14ac:dyDescent="0.2">
      <c r="A246" s="11"/>
      <c r="B246" s="149">
        <f>COUNTA(Spieltag!K233:AA233)</f>
        <v>0</v>
      </c>
      <c r="C246" s="166">
        <f>Spieltag!A233</f>
        <v>13</v>
      </c>
      <c r="D246" s="21" t="str">
        <f>Spieltag!B233</f>
        <v>Rogério (A)</v>
      </c>
      <c r="E246" s="12" t="str">
        <f>Spieltag!C233</f>
        <v>Abwehr</v>
      </c>
      <c r="F246" s="13" t="s">
        <v>55</v>
      </c>
      <c r="G246" s="14"/>
      <c r="H246" s="15">
        <f t="shared" si="778"/>
        <v>0</v>
      </c>
      <c r="I246" s="14"/>
      <c r="J246" s="15">
        <f t="shared" si="779"/>
        <v>0</v>
      </c>
      <c r="K246" s="14"/>
      <c r="L246" s="15">
        <f t="shared" si="780"/>
        <v>0</v>
      </c>
      <c r="M246" s="14"/>
      <c r="N246" s="15">
        <f t="shared" si="781"/>
        <v>0</v>
      </c>
      <c r="O246" s="16">
        <f t="shared" si="758"/>
        <v>0</v>
      </c>
      <c r="P246" s="16">
        <f t="shared" si="759"/>
        <v>10</v>
      </c>
      <c r="Q246" s="16">
        <f t="shared" si="773"/>
        <v>-30</v>
      </c>
      <c r="R246" s="14"/>
      <c r="S246" s="15">
        <f t="shared" si="782"/>
        <v>0</v>
      </c>
      <c r="T246" s="14"/>
      <c r="U246" s="15">
        <f t="shared" si="783"/>
        <v>0</v>
      </c>
      <c r="V246" s="16">
        <f t="shared" si="784"/>
        <v>0</v>
      </c>
      <c r="W246" s="17">
        <f t="shared" si="785"/>
        <v>0</v>
      </c>
    </row>
    <row r="247" spans="1:23" ht="10.5" hidden="1" customHeight="1" x14ac:dyDescent="0.2">
      <c r="A247" s="11"/>
      <c r="B247" s="149">
        <f>COUNTA(Spieltag!K234:AA234)</f>
        <v>0</v>
      </c>
      <c r="C247" s="166">
        <f>Spieltag!A234</f>
        <v>21</v>
      </c>
      <c r="D247" s="21" t="str">
        <f>Spieltag!B234</f>
        <v>Joakim Maehle (A)</v>
      </c>
      <c r="E247" s="12" t="str">
        <f>Spieltag!C234</f>
        <v>Abwehr</v>
      </c>
      <c r="F247" s="13" t="s">
        <v>55</v>
      </c>
      <c r="G247" s="14"/>
      <c r="H247" s="15">
        <f t="shared" ref="H247" si="786">IF(G247="x",10,0)</f>
        <v>0</v>
      </c>
      <c r="I247" s="14"/>
      <c r="J247" s="15">
        <f t="shared" ref="J247" si="787">IF((I247="x"),-10,0)</f>
        <v>0</v>
      </c>
      <c r="K247" s="14"/>
      <c r="L247" s="15">
        <f t="shared" ref="L247" si="788">IF((K247="x"),-20,0)</f>
        <v>0</v>
      </c>
      <c r="M247" s="14"/>
      <c r="N247" s="15">
        <f t="shared" ref="N247" si="789">IF((M247="x"),-30,0)</f>
        <v>0</v>
      </c>
      <c r="O247" s="16">
        <f t="shared" si="758"/>
        <v>0</v>
      </c>
      <c r="P247" s="16">
        <f t="shared" si="759"/>
        <v>10</v>
      </c>
      <c r="Q247" s="16">
        <f t="shared" si="773"/>
        <v>-30</v>
      </c>
      <c r="R247" s="14"/>
      <c r="S247" s="15">
        <f t="shared" ref="S247" si="790">R247*15</f>
        <v>0</v>
      </c>
      <c r="T247" s="14"/>
      <c r="U247" s="15">
        <f t="shared" ref="U247" si="791">T247*-15</f>
        <v>0</v>
      </c>
      <c r="V247" s="16">
        <f t="shared" ref="V247" si="792">IF(AND(R247=2),10,IF(R247=3,30,IF(R247=4,50,IF(R247=5,70,0))))</f>
        <v>0</v>
      </c>
      <c r="W247" s="17">
        <f t="shared" ref="W247" si="793">IF(G247="x",H247+J247+L247+N247+O247+P247+Q247+S247+U247+V247,0)</f>
        <v>0</v>
      </c>
    </row>
    <row r="248" spans="1:23" ht="10.5" hidden="1" customHeight="1" x14ac:dyDescent="0.2">
      <c r="A248" s="11"/>
      <c r="B248" s="149">
        <f>COUNTA(Spieltag!K235:AA235)</f>
        <v>0</v>
      </c>
      <c r="C248" s="166">
        <f>Spieltag!A235</f>
        <v>25</v>
      </c>
      <c r="D248" s="21" t="str">
        <f>Spieltag!B235</f>
        <v>Moritz Jenz (A)</v>
      </c>
      <c r="E248" s="12" t="str">
        <f>Spieltag!C235</f>
        <v>Abwehr</v>
      </c>
      <c r="F248" s="13" t="s">
        <v>55</v>
      </c>
      <c r="G248" s="14"/>
      <c r="H248" s="15">
        <f t="shared" si="778"/>
        <v>0</v>
      </c>
      <c r="I248" s="14"/>
      <c r="J248" s="15">
        <f t="shared" si="779"/>
        <v>0</v>
      </c>
      <c r="K248" s="14"/>
      <c r="L248" s="15">
        <f t="shared" si="780"/>
        <v>0</v>
      </c>
      <c r="M248" s="14"/>
      <c r="N248" s="15">
        <f t="shared" si="781"/>
        <v>0</v>
      </c>
      <c r="O248" s="16">
        <f t="shared" si="758"/>
        <v>0</v>
      </c>
      <c r="P248" s="16">
        <f t="shared" si="759"/>
        <v>10</v>
      </c>
      <c r="Q248" s="16">
        <f t="shared" si="773"/>
        <v>-30</v>
      </c>
      <c r="R248" s="14"/>
      <c r="S248" s="15">
        <f t="shared" si="782"/>
        <v>0</v>
      </c>
      <c r="T248" s="14"/>
      <c r="U248" s="15">
        <f t="shared" si="783"/>
        <v>0</v>
      </c>
      <c r="V248" s="16">
        <f t="shared" si="784"/>
        <v>0</v>
      </c>
      <c r="W248" s="17">
        <f t="shared" si="785"/>
        <v>0</v>
      </c>
    </row>
    <row r="249" spans="1:23" ht="10.5" hidden="1" customHeight="1" x14ac:dyDescent="0.2">
      <c r="A249" s="11"/>
      <c r="B249" s="149">
        <f>COUNTA(Spieltag!K236:AA236)</f>
        <v>0</v>
      </c>
      <c r="C249" s="166">
        <f>Spieltag!A236</f>
        <v>6</v>
      </c>
      <c r="D249" s="21" t="str">
        <f>Spieltag!B236</f>
        <v>Aster Vranckx (A)</v>
      </c>
      <c r="E249" s="12" t="str">
        <f>Spieltag!C236</f>
        <v>Mittelfeld</v>
      </c>
      <c r="F249" s="13" t="s">
        <v>55</v>
      </c>
      <c r="G249" s="14"/>
      <c r="H249" s="15">
        <f t="shared" ref="H249" si="794">IF(G249="x",10,0)</f>
        <v>0</v>
      </c>
      <c r="I249" s="14"/>
      <c r="J249" s="15">
        <f t="shared" ref="J249" si="795">IF((I249="x"),-10,0)</f>
        <v>0</v>
      </c>
      <c r="K249" s="14"/>
      <c r="L249" s="15">
        <f t="shared" ref="L249" si="796">IF((K249="x"),-20,0)</f>
        <v>0</v>
      </c>
      <c r="M249" s="14"/>
      <c r="N249" s="15">
        <f t="shared" ref="N249" si="797">IF((M249="x"),-30,0)</f>
        <v>0</v>
      </c>
      <c r="O249" s="16">
        <f t="shared" si="758"/>
        <v>0</v>
      </c>
      <c r="P249" s="16">
        <f t="shared" si="759"/>
        <v>10</v>
      </c>
      <c r="Q249" s="16">
        <f t="shared" ref="Q249:Q259" si="798">IF(($Q$11&lt;&gt;0),$Q$11*-10,10)</f>
        <v>-30</v>
      </c>
      <c r="R249" s="14"/>
      <c r="S249" s="15">
        <f t="shared" ref="S249" si="799">R249*10</f>
        <v>0</v>
      </c>
      <c r="T249" s="14"/>
      <c r="U249" s="15">
        <f t="shared" ref="U249" si="800">T249*-15</f>
        <v>0</v>
      </c>
      <c r="V249" s="16">
        <f t="shared" ref="V249" si="801">IF(AND(R249=2),10,IF(R249=3,30,IF(R249=4,50,IF(R249=5,70,0))))</f>
        <v>0</v>
      </c>
      <c r="W249" s="17">
        <f t="shared" ref="W249" si="802">IF(G249="x",H249+J249+L249+N249+O249+P249+Q249+S249+U249+V249,0)</f>
        <v>0</v>
      </c>
    </row>
    <row r="250" spans="1:23" ht="10.5" hidden="1" customHeight="1" x14ac:dyDescent="0.2">
      <c r="A250" s="11"/>
      <c r="B250" s="149">
        <f>COUNTA(Spieltag!K237:AA237)</f>
        <v>0</v>
      </c>
      <c r="C250" s="166">
        <f>Spieltag!A237</f>
        <v>7</v>
      </c>
      <c r="D250" s="21" t="str">
        <f>Spieltag!B237</f>
        <v>Václav Černý (A)</v>
      </c>
      <c r="E250" s="12" t="str">
        <f>Spieltag!C237</f>
        <v>Mittelfeld</v>
      </c>
      <c r="F250" s="13" t="s">
        <v>55</v>
      </c>
      <c r="G250" s="14"/>
      <c r="H250" s="15">
        <f t="shared" ref="H250:H260" si="803">IF(G250="x",10,0)</f>
        <v>0</v>
      </c>
      <c r="I250" s="14"/>
      <c r="J250" s="15">
        <f t="shared" ref="J250:J260" si="804">IF((I250="x"),-10,0)</f>
        <v>0</v>
      </c>
      <c r="K250" s="14"/>
      <c r="L250" s="15">
        <f t="shared" ref="L250:L260" si="805">IF((K250="x"),-20,0)</f>
        <v>0</v>
      </c>
      <c r="M250" s="14"/>
      <c r="N250" s="15">
        <f t="shared" ref="N250:N260" si="806">IF((M250="x"),-30,0)</f>
        <v>0</v>
      </c>
      <c r="O250" s="16">
        <f t="shared" si="758"/>
        <v>0</v>
      </c>
      <c r="P250" s="16">
        <f t="shared" si="759"/>
        <v>10</v>
      </c>
      <c r="Q250" s="16">
        <f t="shared" si="798"/>
        <v>-30</v>
      </c>
      <c r="R250" s="14"/>
      <c r="S250" s="15">
        <f t="shared" ref="S250:S260" si="807">R250*10</f>
        <v>0</v>
      </c>
      <c r="T250" s="14"/>
      <c r="U250" s="15">
        <f t="shared" ref="U250:U260" si="808">T250*-15</f>
        <v>0</v>
      </c>
      <c r="V250" s="16">
        <f t="shared" ref="V250:V260" si="809">IF(AND(R250=2),10,IF(R250=3,30,IF(R250=4,50,IF(R250=5,70,0))))</f>
        <v>0</v>
      </c>
      <c r="W250" s="17">
        <f t="shared" ref="W250:W260" si="810">IF(G250="x",H250+J250+L250+N250+O250+P250+Q250+S250+U250+V250,0)</f>
        <v>0</v>
      </c>
    </row>
    <row r="251" spans="1:23" ht="10.5" hidden="1" customHeight="1" x14ac:dyDescent="0.2">
      <c r="A251" s="11"/>
      <c r="B251" s="149">
        <f>COUNTA(Spieltag!K238:AA238)</f>
        <v>0</v>
      </c>
      <c r="C251" s="166">
        <f>Spieltag!A238</f>
        <v>16</v>
      </c>
      <c r="D251" s="21" t="str">
        <f>Spieltag!B238</f>
        <v>Jakub Kaminski (A)</v>
      </c>
      <c r="E251" s="12" t="str">
        <f>Spieltag!C238</f>
        <v>Mittelfeld</v>
      </c>
      <c r="F251" s="13" t="s">
        <v>55</v>
      </c>
      <c r="G251" s="14"/>
      <c r="H251" s="15">
        <f t="shared" si="803"/>
        <v>0</v>
      </c>
      <c r="I251" s="14"/>
      <c r="J251" s="15">
        <f t="shared" si="804"/>
        <v>0</v>
      </c>
      <c r="K251" s="14"/>
      <c r="L251" s="15">
        <f t="shared" si="805"/>
        <v>0</v>
      </c>
      <c r="M251" s="14"/>
      <c r="N251" s="15">
        <f t="shared" si="806"/>
        <v>0</v>
      </c>
      <c r="O251" s="16">
        <f t="shared" si="758"/>
        <v>0</v>
      </c>
      <c r="P251" s="16">
        <f t="shared" si="759"/>
        <v>10</v>
      </c>
      <c r="Q251" s="16">
        <f t="shared" si="798"/>
        <v>-30</v>
      </c>
      <c r="R251" s="14"/>
      <c r="S251" s="15">
        <f t="shared" si="807"/>
        <v>0</v>
      </c>
      <c r="T251" s="14"/>
      <c r="U251" s="15">
        <f t="shared" si="808"/>
        <v>0</v>
      </c>
      <c r="V251" s="16">
        <f t="shared" si="809"/>
        <v>0</v>
      </c>
      <c r="W251" s="17">
        <f t="shared" si="810"/>
        <v>0</v>
      </c>
    </row>
    <row r="252" spans="1:23" ht="10.5" hidden="1" customHeight="1" x14ac:dyDescent="0.2">
      <c r="A252" s="11"/>
      <c r="B252" s="149">
        <f>COUNTA(Spieltag!K239:AA239)</f>
        <v>0</v>
      </c>
      <c r="C252" s="166">
        <f>Spieltag!A239</f>
        <v>19</v>
      </c>
      <c r="D252" s="21" t="str">
        <f>Spieltag!B239</f>
        <v>Lovro Majer (A)</v>
      </c>
      <c r="E252" s="12" t="str">
        <f>Spieltag!C239</f>
        <v>Mittelfeld</v>
      </c>
      <c r="F252" s="13" t="s">
        <v>55</v>
      </c>
      <c r="G252" s="14"/>
      <c r="H252" s="15">
        <f t="shared" ref="H252" si="811">IF(G252="x",10,0)</f>
        <v>0</v>
      </c>
      <c r="I252" s="14"/>
      <c r="J252" s="15">
        <f t="shared" ref="J252" si="812">IF((I252="x"),-10,0)</f>
        <v>0</v>
      </c>
      <c r="K252" s="14"/>
      <c r="L252" s="15">
        <f t="shared" ref="L252" si="813">IF((K252="x"),-20,0)</f>
        <v>0</v>
      </c>
      <c r="M252" s="14"/>
      <c r="N252" s="15">
        <f t="shared" ref="N252" si="814">IF((M252="x"),-30,0)</f>
        <v>0</v>
      </c>
      <c r="O252" s="16">
        <f t="shared" si="758"/>
        <v>0</v>
      </c>
      <c r="P252" s="16">
        <f t="shared" si="759"/>
        <v>10</v>
      </c>
      <c r="Q252" s="16">
        <f t="shared" si="798"/>
        <v>-30</v>
      </c>
      <c r="R252" s="14"/>
      <c r="S252" s="15">
        <f t="shared" ref="S252" si="815">R252*10</f>
        <v>0</v>
      </c>
      <c r="T252" s="14"/>
      <c r="U252" s="15">
        <f t="shared" ref="U252" si="816">T252*-15</f>
        <v>0</v>
      </c>
      <c r="V252" s="16">
        <f t="shared" ref="V252" si="817">IF(AND(R252=2),10,IF(R252=3,30,IF(R252=4,50,IF(R252=5,70,0))))</f>
        <v>0</v>
      </c>
      <c r="W252" s="17">
        <f t="shared" ref="W252" si="818">IF(G252="x",H252+J252+L252+N252+O252+P252+Q252+S252+U252+V252,0)</f>
        <v>0</v>
      </c>
    </row>
    <row r="253" spans="1:23" ht="10.5" hidden="1" customHeight="1" x14ac:dyDescent="0.2">
      <c r="A253" s="11"/>
      <c r="B253" s="149">
        <f>COUNTA(Spieltag!K240:AA240)</f>
        <v>0</v>
      </c>
      <c r="C253" s="166">
        <f>Spieltag!A240</f>
        <v>20</v>
      </c>
      <c r="D253" s="21" t="str">
        <f>Spieltag!B240</f>
        <v>Ridle Baku</v>
      </c>
      <c r="E253" s="12" t="str">
        <f>Spieltag!C240</f>
        <v>Mittelfeld</v>
      </c>
      <c r="F253" s="13" t="s">
        <v>55</v>
      </c>
      <c r="G253" s="14"/>
      <c r="H253" s="15">
        <f t="shared" si="803"/>
        <v>0</v>
      </c>
      <c r="I253" s="14"/>
      <c r="J253" s="15">
        <f t="shared" si="804"/>
        <v>0</v>
      </c>
      <c r="K253" s="14"/>
      <c r="L253" s="15">
        <f t="shared" si="805"/>
        <v>0</v>
      </c>
      <c r="M253" s="14"/>
      <c r="N253" s="15">
        <f t="shared" si="806"/>
        <v>0</v>
      </c>
      <c r="O253" s="16">
        <f t="shared" si="758"/>
        <v>0</v>
      </c>
      <c r="P253" s="16">
        <f t="shared" si="759"/>
        <v>10</v>
      </c>
      <c r="Q253" s="16">
        <f t="shared" si="798"/>
        <v>-30</v>
      </c>
      <c r="R253" s="14"/>
      <c r="S253" s="15">
        <f t="shared" si="807"/>
        <v>0</v>
      </c>
      <c r="T253" s="14"/>
      <c r="U253" s="15">
        <f t="shared" si="808"/>
        <v>0</v>
      </c>
      <c r="V253" s="16">
        <f t="shared" si="809"/>
        <v>0</v>
      </c>
      <c r="W253" s="17">
        <f t="shared" si="810"/>
        <v>0</v>
      </c>
    </row>
    <row r="254" spans="1:23" ht="10.5" hidden="1" customHeight="1" x14ac:dyDescent="0.2">
      <c r="A254" s="11"/>
      <c r="B254" s="149">
        <f>COUNTA(Spieltag!K241:AA241)</f>
        <v>0</v>
      </c>
      <c r="C254" s="166">
        <f>Spieltag!A241</f>
        <v>27</v>
      </c>
      <c r="D254" s="21" t="str">
        <f>Spieltag!B241</f>
        <v>Maximilian Arnold</v>
      </c>
      <c r="E254" s="12" t="str">
        <f>Spieltag!C241</f>
        <v>Mittelfeld</v>
      </c>
      <c r="F254" s="13" t="s">
        <v>55</v>
      </c>
      <c r="G254" s="14"/>
      <c r="H254" s="15">
        <f t="shared" si="803"/>
        <v>0</v>
      </c>
      <c r="I254" s="14"/>
      <c r="J254" s="15">
        <f t="shared" si="804"/>
        <v>0</v>
      </c>
      <c r="K254" s="14"/>
      <c r="L254" s="15">
        <f t="shared" si="805"/>
        <v>0</v>
      </c>
      <c r="M254" s="14"/>
      <c r="N254" s="15">
        <f t="shared" si="806"/>
        <v>0</v>
      </c>
      <c r="O254" s="16">
        <f t="shared" si="758"/>
        <v>0</v>
      </c>
      <c r="P254" s="16">
        <f t="shared" si="759"/>
        <v>10</v>
      </c>
      <c r="Q254" s="16">
        <f t="shared" si="798"/>
        <v>-30</v>
      </c>
      <c r="R254" s="14"/>
      <c r="S254" s="15">
        <f t="shared" si="807"/>
        <v>0</v>
      </c>
      <c r="T254" s="14"/>
      <c r="U254" s="15">
        <f t="shared" si="808"/>
        <v>0</v>
      </c>
      <c r="V254" s="16">
        <f t="shared" si="809"/>
        <v>0</v>
      </c>
      <c r="W254" s="17">
        <f t="shared" si="810"/>
        <v>0</v>
      </c>
    </row>
    <row r="255" spans="1:23" ht="10.5" hidden="1" customHeight="1" x14ac:dyDescent="0.2">
      <c r="A255" s="11"/>
      <c r="B255" s="149">
        <f>COUNTA(Spieltag!K242:AA242)</f>
        <v>0</v>
      </c>
      <c r="C255" s="166">
        <f>Spieltag!A242</f>
        <v>31</v>
      </c>
      <c r="D255" s="21" t="str">
        <f>Spieltag!B242</f>
        <v>Yannick Gerhardt</v>
      </c>
      <c r="E255" s="12" t="str">
        <f>Spieltag!C242</f>
        <v>Mittelfeld</v>
      </c>
      <c r="F255" s="13" t="s">
        <v>55</v>
      </c>
      <c r="G255" s="14"/>
      <c r="H255" s="15">
        <f t="shared" si="803"/>
        <v>0</v>
      </c>
      <c r="I255" s="14"/>
      <c r="J255" s="15">
        <f t="shared" si="804"/>
        <v>0</v>
      </c>
      <c r="K255" s="14"/>
      <c r="L255" s="15">
        <f t="shared" si="805"/>
        <v>0</v>
      </c>
      <c r="M255" s="14"/>
      <c r="N255" s="15">
        <f t="shared" si="806"/>
        <v>0</v>
      </c>
      <c r="O255" s="16">
        <f t="shared" si="758"/>
        <v>0</v>
      </c>
      <c r="P255" s="16">
        <f t="shared" si="759"/>
        <v>10</v>
      </c>
      <c r="Q255" s="16">
        <f t="shared" si="798"/>
        <v>-30</v>
      </c>
      <c r="R255" s="14"/>
      <c r="S255" s="15">
        <f t="shared" si="807"/>
        <v>0</v>
      </c>
      <c r="T255" s="14"/>
      <c r="U255" s="15">
        <f t="shared" si="808"/>
        <v>0</v>
      </c>
      <c r="V255" s="16">
        <f t="shared" si="809"/>
        <v>0</v>
      </c>
      <c r="W255" s="17">
        <f t="shared" si="810"/>
        <v>0</v>
      </c>
    </row>
    <row r="256" spans="1:23" ht="10.5" hidden="1" customHeight="1" x14ac:dyDescent="0.2">
      <c r="A256" s="11"/>
      <c r="B256" s="149">
        <f>COUNTA(Spieltag!K243:AA243)</f>
        <v>0</v>
      </c>
      <c r="C256" s="166">
        <f>Spieltag!A243</f>
        <v>32</v>
      </c>
      <c r="D256" s="21" t="str">
        <f>Spieltag!B243</f>
        <v>Mattias Svanberg (A)</v>
      </c>
      <c r="E256" s="12" t="str">
        <f>Spieltag!C243</f>
        <v>Mittelfeld</v>
      </c>
      <c r="F256" s="13" t="s">
        <v>55</v>
      </c>
      <c r="G256" s="14"/>
      <c r="H256" s="15">
        <f t="shared" si="803"/>
        <v>0</v>
      </c>
      <c r="I256" s="14"/>
      <c r="J256" s="15">
        <f t="shared" si="804"/>
        <v>0</v>
      </c>
      <c r="K256" s="14"/>
      <c r="L256" s="15">
        <f t="shared" si="805"/>
        <v>0</v>
      </c>
      <c r="M256" s="14"/>
      <c r="N256" s="15">
        <f t="shared" si="806"/>
        <v>0</v>
      </c>
      <c r="O256" s="16">
        <f t="shared" si="758"/>
        <v>0</v>
      </c>
      <c r="P256" s="16">
        <f t="shared" si="759"/>
        <v>10</v>
      </c>
      <c r="Q256" s="16">
        <f t="shared" si="798"/>
        <v>-30</v>
      </c>
      <c r="R256" s="14"/>
      <c r="S256" s="15">
        <f t="shared" si="807"/>
        <v>0</v>
      </c>
      <c r="T256" s="14"/>
      <c r="U256" s="15">
        <f t="shared" si="808"/>
        <v>0</v>
      </c>
      <c r="V256" s="16">
        <f t="shared" si="809"/>
        <v>0</v>
      </c>
      <c r="W256" s="17">
        <f t="shared" si="810"/>
        <v>0</v>
      </c>
    </row>
    <row r="257" spans="1:23" ht="10.5" hidden="1" customHeight="1" x14ac:dyDescent="0.2">
      <c r="A257" s="11"/>
      <c r="B257" s="149">
        <f>COUNTA(Spieltag!K244:AA244)</f>
        <v>0</v>
      </c>
      <c r="C257" s="166">
        <f>Spieltag!A244</f>
        <v>39</v>
      </c>
      <c r="D257" s="21" t="str">
        <f>Spieltag!B244</f>
        <v>Patrick Wimmer (A)</v>
      </c>
      <c r="E257" s="12" t="str">
        <f>Spieltag!C244</f>
        <v>Mittelfeld</v>
      </c>
      <c r="F257" s="13" t="s">
        <v>55</v>
      </c>
      <c r="G257" s="14"/>
      <c r="H257" s="15">
        <f t="shared" si="803"/>
        <v>0</v>
      </c>
      <c r="I257" s="14"/>
      <c r="J257" s="15">
        <f t="shared" si="804"/>
        <v>0</v>
      </c>
      <c r="K257" s="14"/>
      <c r="L257" s="15">
        <f t="shared" si="805"/>
        <v>0</v>
      </c>
      <c r="M257" s="14"/>
      <c r="N257" s="15">
        <f t="shared" si="806"/>
        <v>0</v>
      </c>
      <c r="O257" s="16">
        <f t="shared" si="758"/>
        <v>0</v>
      </c>
      <c r="P257" s="16">
        <f t="shared" si="759"/>
        <v>10</v>
      </c>
      <c r="Q257" s="16">
        <f t="shared" si="798"/>
        <v>-30</v>
      </c>
      <c r="R257" s="14"/>
      <c r="S257" s="15">
        <f t="shared" si="807"/>
        <v>0</v>
      </c>
      <c r="T257" s="14"/>
      <c r="U257" s="15">
        <f t="shared" si="808"/>
        <v>0</v>
      </c>
      <c r="V257" s="16">
        <f t="shared" si="809"/>
        <v>0</v>
      </c>
      <c r="W257" s="17">
        <f t="shared" si="810"/>
        <v>0</v>
      </c>
    </row>
    <row r="258" spans="1:23" ht="10.5" hidden="1" customHeight="1" x14ac:dyDescent="0.2">
      <c r="A258" s="11"/>
      <c r="B258" s="149">
        <f>COUNTA(Spieltag!K245:AA245)</f>
        <v>0</v>
      </c>
      <c r="C258" s="166">
        <f>Spieltag!A245</f>
        <v>40</v>
      </c>
      <c r="D258" s="21" t="str">
        <f>Spieltag!B245</f>
        <v>Kevin Paredes (A)</v>
      </c>
      <c r="E258" s="12" t="str">
        <f>Spieltag!C245</f>
        <v>Mittelfeld</v>
      </c>
      <c r="F258" s="13" t="s">
        <v>55</v>
      </c>
      <c r="G258" s="14"/>
      <c r="H258" s="15">
        <f t="shared" ref="H258" si="819">IF(G258="x",10,0)</f>
        <v>0</v>
      </c>
      <c r="I258" s="14"/>
      <c r="J258" s="15">
        <f t="shared" ref="J258" si="820">IF((I258="x"),-10,0)</f>
        <v>0</v>
      </c>
      <c r="K258" s="14"/>
      <c r="L258" s="15">
        <f t="shared" ref="L258" si="821">IF((K258="x"),-20,0)</f>
        <v>0</v>
      </c>
      <c r="M258" s="14"/>
      <c r="N258" s="15">
        <f t="shared" ref="N258" si="822">IF((M258="x"),-30,0)</f>
        <v>0</v>
      </c>
      <c r="O258" s="16">
        <f t="shared" si="758"/>
        <v>0</v>
      </c>
      <c r="P258" s="16">
        <f t="shared" si="759"/>
        <v>10</v>
      </c>
      <c r="Q258" s="16">
        <f t="shared" si="798"/>
        <v>-30</v>
      </c>
      <c r="R258" s="14"/>
      <c r="S258" s="15">
        <f t="shared" ref="S258" si="823">R258*10</f>
        <v>0</v>
      </c>
      <c r="T258" s="14"/>
      <c r="U258" s="15">
        <f t="shared" ref="U258" si="824">T258*-15</f>
        <v>0</v>
      </c>
      <c r="V258" s="16">
        <f t="shared" ref="V258" si="825">IF(AND(R258=2),10,IF(R258=3,30,IF(R258=4,50,IF(R258=5,70,0))))</f>
        <v>0</v>
      </c>
      <c r="W258" s="17">
        <f t="shared" ref="W258" si="826">IF(G258="x",H258+J258+L258+N258+O258+P258+Q258+S258+U258+V258,0)</f>
        <v>0</v>
      </c>
    </row>
    <row r="259" spans="1:23" ht="10.5" hidden="1" customHeight="1" x14ac:dyDescent="0.2">
      <c r="A259" s="11"/>
      <c r="B259" s="149">
        <f>COUNTA(Spieltag!K246:AA246)</f>
        <v>0</v>
      </c>
      <c r="C259" s="166">
        <f>Spieltag!A246</f>
        <v>41</v>
      </c>
      <c r="D259" s="21" t="str">
        <f>Spieltag!B246</f>
        <v>Kofi Amoako</v>
      </c>
      <c r="E259" s="12" t="str">
        <f>Spieltag!C246</f>
        <v>Mittelfeld</v>
      </c>
      <c r="F259" s="13" t="s">
        <v>55</v>
      </c>
      <c r="G259" s="14"/>
      <c r="H259" s="15">
        <f t="shared" si="803"/>
        <v>0</v>
      </c>
      <c r="I259" s="14"/>
      <c r="J259" s="15">
        <f t="shared" si="804"/>
        <v>0</v>
      </c>
      <c r="K259" s="14"/>
      <c r="L259" s="15">
        <f t="shared" si="805"/>
        <v>0</v>
      </c>
      <c r="M259" s="14"/>
      <c r="N259" s="15">
        <f t="shared" si="806"/>
        <v>0</v>
      </c>
      <c r="O259" s="16">
        <f t="shared" si="758"/>
        <v>0</v>
      </c>
      <c r="P259" s="16">
        <f t="shared" si="759"/>
        <v>10</v>
      </c>
      <c r="Q259" s="16">
        <f t="shared" si="798"/>
        <v>-30</v>
      </c>
      <c r="R259" s="14"/>
      <c r="S259" s="15">
        <f t="shared" si="807"/>
        <v>0</v>
      </c>
      <c r="T259" s="14"/>
      <c r="U259" s="15">
        <f t="shared" si="808"/>
        <v>0</v>
      </c>
      <c r="V259" s="16">
        <f t="shared" si="809"/>
        <v>0</v>
      </c>
      <c r="W259" s="17">
        <f t="shared" si="810"/>
        <v>0</v>
      </c>
    </row>
    <row r="260" spans="1:23" ht="10.5" hidden="1" customHeight="1" x14ac:dyDescent="0.2">
      <c r="A260" s="11"/>
      <c r="B260" s="149">
        <f>COUNTA(Spieltag!K247:AA247)</f>
        <v>0</v>
      </c>
      <c r="C260" s="166">
        <f>Spieltag!A247</f>
        <v>9</v>
      </c>
      <c r="D260" s="21" t="str">
        <f>Spieltag!B247</f>
        <v>Amin Sarr (A)</v>
      </c>
      <c r="E260" s="12" t="str">
        <f>Spieltag!C247</f>
        <v>Sturm</v>
      </c>
      <c r="F260" s="13" t="s">
        <v>55</v>
      </c>
      <c r="G260" s="14"/>
      <c r="H260" s="15">
        <f t="shared" si="803"/>
        <v>0</v>
      </c>
      <c r="I260" s="14"/>
      <c r="J260" s="15">
        <f t="shared" si="804"/>
        <v>0</v>
      </c>
      <c r="K260" s="14"/>
      <c r="L260" s="15">
        <f t="shared" si="805"/>
        <v>0</v>
      </c>
      <c r="M260" s="14"/>
      <c r="N260" s="15">
        <f t="shared" si="806"/>
        <v>0</v>
      </c>
      <c r="O260" s="16">
        <f t="shared" ref="O260:O265" si="827">IF(AND($P$11&gt;$Q$11),20,IF($P$11=$Q$11,10,0))</f>
        <v>0</v>
      </c>
      <c r="P260" s="16">
        <f t="shared" ref="P260:P265" si="828">IF(($P$11&lt;&gt;0),$P$11*10,-5)</f>
        <v>10</v>
      </c>
      <c r="Q260" s="16">
        <f t="shared" ref="Q260:Q265" si="829">IF(($Q$11&lt;&gt;0),$Q$11*-10,5)</f>
        <v>-30</v>
      </c>
      <c r="R260" s="14"/>
      <c r="S260" s="15">
        <f t="shared" si="807"/>
        <v>0</v>
      </c>
      <c r="T260" s="14"/>
      <c r="U260" s="15">
        <f t="shared" si="808"/>
        <v>0</v>
      </c>
      <c r="V260" s="16">
        <f t="shared" si="809"/>
        <v>0</v>
      </c>
      <c r="W260" s="17">
        <f t="shared" si="810"/>
        <v>0</v>
      </c>
    </row>
    <row r="261" spans="1:23" ht="10.5" hidden="1" customHeight="1" x14ac:dyDescent="0.2">
      <c r="A261" s="11"/>
      <c r="B261" s="149">
        <f>COUNTA(Spieltag!K248:AA248)</f>
        <v>0</v>
      </c>
      <c r="C261" s="166">
        <f>Spieltag!A248</f>
        <v>10</v>
      </c>
      <c r="D261" s="21" t="str">
        <f>Spieltag!B248</f>
        <v>Lukas Nmecha</v>
      </c>
      <c r="E261" s="12" t="str">
        <f>Spieltag!C248</f>
        <v>Sturm</v>
      </c>
      <c r="F261" s="13" t="s">
        <v>55</v>
      </c>
      <c r="G261" s="14"/>
      <c r="H261" s="15">
        <f t="shared" ref="H261" si="830">IF(G261="x",10,0)</f>
        <v>0</v>
      </c>
      <c r="I261" s="14"/>
      <c r="J261" s="15">
        <f t="shared" ref="J261" si="831">IF((I261="x"),-10,0)</f>
        <v>0</v>
      </c>
      <c r="K261" s="14"/>
      <c r="L261" s="15">
        <f t="shared" ref="L261" si="832">IF((K261="x"),-20,0)</f>
        <v>0</v>
      </c>
      <c r="M261" s="14"/>
      <c r="N261" s="15">
        <f t="shared" ref="N261" si="833">IF((M261="x"),-30,0)</f>
        <v>0</v>
      </c>
      <c r="O261" s="16">
        <f t="shared" si="827"/>
        <v>0</v>
      </c>
      <c r="P261" s="16">
        <f t="shared" si="828"/>
        <v>10</v>
      </c>
      <c r="Q261" s="16">
        <f t="shared" si="829"/>
        <v>-30</v>
      </c>
      <c r="R261" s="14"/>
      <c r="S261" s="15">
        <f t="shared" ref="S261" si="834">R261*10</f>
        <v>0</v>
      </c>
      <c r="T261" s="14"/>
      <c r="U261" s="15">
        <f t="shared" ref="U261" si="835">T261*-15</f>
        <v>0</v>
      </c>
      <c r="V261" s="16">
        <f t="shared" ref="V261" si="836">IF(AND(R261=2),10,IF(R261=3,30,IF(R261=4,50,IF(R261=5,70,0))))</f>
        <v>0</v>
      </c>
      <c r="W261" s="17">
        <f t="shared" ref="W261" si="837">IF(G261="x",H261+J261+L261+N261+O261+P261+Q261+S261+U261+V261,0)</f>
        <v>0</v>
      </c>
    </row>
    <row r="262" spans="1:23" ht="10.5" hidden="1" customHeight="1" x14ac:dyDescent="0.2">
      <c r="A262" s="11"/>
      <c r="B262" s="149">
        <f>COUNTA(Spieltag!K249:AA249)</f>
        <v>0</v>
      </c>
      <c r="C262" s="166">
        <f>Spieltag!A249</f>
        <v>11</v>
      </c>
      <c r="D262" s="21" t="str">
        <f>Spieltag!B249</f>
        <v>Tiago Tomás (A)</v>
      </c>
      <c r="E262" s="12" t="str">
        <f>Spieltag!C249</f>
        <v>Sturm</v>
      </c>
      <c r="F262" s="13" t="s">
        <v>55</v>
      </c>
      <c r="G262" s="14"/>
      <c r="H262" s="15">
        <f t="shared" ref="H262:H265" si="838">IF(G262="x",10,0)</f>
        <v>0</v>
      </c>
      <c r="I262" s="14"/>
      <c r="J262" s="15">
        <f t="shared" ref="J262:J265" si="839">IF((I262="x"),-10,0)</f>
        <v>0</v>
      </c>
      <c r="K262" s="14"/>
      <c r="L262" s="15">
        <f t="shared" ref="L262:L265" si="840">IF((K262="x"),-20,0)</f>
        <v>0</v>
      </c>
      <c r="M262" s="14"/>
      <c r="N262" s="15">
        <f t="shared" ref="N262:N265" si="841">IF((M262="x"),-30,0)</f>
        <v>0</v>
      </c>
      <c r="O262" s="16">
        <f t="shared" si="827"/>
        <v>0</v>
      </c>
      <c r="P262" s="16">
        <f t="shared" si="828"/>
        <v>10</v>
      </c>
      <c r="Q262" s="16">
        <f t="shared" si="829"/>
        <v>-30</v>
      </c>
      <c r="R262" s="14"/>
      <c r="S262" s="15">
        <f t="shared" ref="S262:S265" si="842">R262*10</f>
        <v>0</v>
      </c>
      <c r="T262" s="14"/>
      <c r="U262" s="15">
        <f t="shared" ref="U262:U265" si="843">T262*-15</f>
        <v>0</v>
      </c>
      <c r="V262" s="16">
        <f t="shared" ref="V262:V265" si="844">IF(AND(R262=2),10,IF(R262=3,30,IF(R262=4,50,IF(R262=5,70,0))))</f>
        <v>0</v>
      </c>
      <c r="W262" s="17">
        <f t="shared" ref="W262:W265" si="845">IF(G262="x",H262+J262+L262+N262+O262+P262+Q262+S262+U262+V262,0)</f>
        <v>0</v>
      </c>
    </row>
    <row r="263" spans="1:23" ht="10.5" hidden="1" customHeight="1" x14ac:dyDescent="0.2">
      <c r="A263" s="11"/>
      <c r="B263" s="149">
        <f>COUNTA(Spieltag!K250:AA250)</f>
        <v>0</v>
      </c>
      <c r="C263" s="166">
        <f>Spieltag!A250</f>
        <v>17</v>
      </c>
      <c r="D263" s="21" t="str">
        <f>Spieltag!B250</f>
        <v>Kevin Behrens</v>
      </c>
      <c r="E263" s="12" t="str">
        <f>Spieltag!C250</f>
        <v>Sturm</v>
      </c>
      <c r="F263" s="13" t="s">
        <v>55</v>
      </c>
      <c r="G263" s="14"/>
      <c r="H263" s="15">
        <f t="shared" ref="H263" si="846">IF(G263="x",10,0)</f>
        <v>0</v>
      </c>
      <c r="I263" s="14"/>
      <c r="J263" s="15">
        <f t="shared" ref="J263" si="847">IF((I263="x"),-10,0)</f>
        <v>0</v>
      </c>
      <c r="K263" s="14"/>
      <c r="L263" s="15">
        <f t="shared" ref="L263" si="848">IF((K263="x"),-20,0)</f>
        <v>0</v>
      </c>
      <c r="M263" s="14"/>
      <c r="N263" s="15">
        <f t="shared" ref="N263" si="849">IF((M263="x"),-30,0)</f>
        <v>0</v>
      </c>
      <c r="O263" s="16">
        <f t="shared" si="827"/>
        <v>0</v>
      </c>
      <c r="P263" s="16">
        <f t="shared" si="828"/>
        <v>10</v>
      </c>
      <c r="Q263" s="16">
        <f t="shared" si="829"/>
        <v>-30</v>
      </c>
      <c r="R263" s="14"/>
      <c r="S263" s="15">
        <f t="shared" ref="S263" si="850">R263*10</f>
        <v>0</v>
      </c>
      <c r="T263" s="14"/>
      <c r="U263" s="15">
        <f t="shared" ref="U263" si="851">T263*-15</f>
        <v>0</v>
      </c>
      <c r="V263" s="16">
        <f t="shared" ref="V263" si="852">IF(AND(R263=2),10,IF(R263=3,30,IF(R263=4,50,IF(R263=5,70,0))))</f>
        <v>0</v>
      </c>
      <c r="W263" s="17">
        <f t="shared" ref="W263" si="853">IF(G263="x",H263+J263+L263+N263+O263+P263+Q263+S263+U263+V263,0)</f>
        <v>0</v>
      </c>
    </row>
    <row r="264" spans="1:23" ht="10.5" hidden="1" customHeight="1" x14ac:dyDescent="0.2">
      <c r="A264" s="11"/>
      <c r="B264" s="149">
        <f>COUNTA(Spieltag!K251:AA251)</f>
        <v>0</v>
      </c>
      <c r="C264" s="166">
        <f>Spieltag!A251</f>
        <v>18</v>
      </c>
      <c r="D264" s="21" t="str">
        <f>Spieltag!B251</f>
        <v>Dženan Pejčinović</v>
      </c>
      <c r="E264" s="12" t="str">
        <f>Spieltag!C251</f>
        <v>Sturm</v>
      </c>
      <c r="F264" s="13" t="s">
        <v>55</v>
      </c>
      <c r="G264" s="14"/>
      <c r="H264" s="15">
        <f t="shared" si="838"/>
        <v>0</v>
      </c>
      <c r="I264" s="14"/>
      <c r="J264" s="15">
        <f t="shared" si="839"/>
        <v>0</v>
      </c>
      <c r="K264" s="14"/>
      <c r="L264" s="15">
        <f t="shared" si="840"/>
        <v>0</v>
      </c>
      <c r="M264" s="14"/>
      <c r="N264" s="15">
        <f t="shared" si="841"/>
        <v>0</v>
      </c>
      <c r="O264" s="16">
        <f t="shared" si="827"/>
        <v>0</v>
      </c>
      <c r="P264" s="16">
        <f t="shared" si="828"/>
        <v>10</v>
      </c>
      <c r="Q264" s="16">
        <f t="shared" si="829"/>
        <v>-30</v>
      </c>
      <c r="R264" s="14"/>
      <c r="S264" s="15">
        <f t="shared" si="842"/>
        <v>0</v>
      </c>
      <c r="T264" s="14"/>
      <c r="U264" s="15">
        <f t="shared" si="843"/>
        <v>0</v>
      </c>
      <c r="V264" s="16">
        <f t="shared" si="844"/>
        <v>0</v>
      </c>
      <c r="W264" s="17">
        <f t="shared" si="845"/>
        <v>0</v>
      </c>
    </row>
    <row r="265" spans="1:23" ht="10.5" hidden="1" customHeight="1" x14ac:dyDescent="0.2">
      <c r="A265" s="11"/>
      <c r="B265" s="149">
        <f>COUNTA(Spieltag!K252:AA252)</f>
        <v>0</v>
      </c>
      <c r="C265" s="166">
        <f>Spieltag!A252</f>
        <v>23</v>
      </c>
      <c r="D265" s="21" t="str">
        <f>Spieltag!B252</f>
        <v>Jonas Wind (A)</v>
      </c>
      <c r="E265" s="12" t="str">
        <f>Spieltag!C252</f>
        <v>Sturm</v>
      </c>
      <c r="F265" s="13" t="s">
        <v>55</v>
      </c>
      <c r="G265" s="14"/>
      <c r="H265" s="15">
        <f t="shared" si="838"/>
        <v>0</v>
      </c>
      <c r="I265" s="14"/>
      <c r="J265" s="15">
        <f t="shared" si="839"/>
        <v>0</v>
      </c>
      <c r="K265" s="14"/>
      <c r="L265" s="15">
        <f t="shared" si="840"/>
        <v>0</v>
      </c>
      <c r="M265" s="14"/>
      <c r="N265" s="15">
        <f t="shared" si="841"/>
        <v>0</v>
      </c>
      <c r="O265" s="16">
        <f t="shared" si="827"/>
        <v>0</v>
      </c>
      <c r="P265" s="16">
        <f t="shared" si="828"/>
        <v>10</v>
      </c>
      <c r="Q265" s="16">
        <f t="shared" si="829"/>
        <v>-30</v>
      </c>
      <c r="R265" s="14"/>
      <c r="S265" s="15">
        <f t="shared" si="842"/>
        <v>0</v>
      </c>
      <c r="T265" s="14"/>
      <c r="U265" s="15">
        <f t="shared" si="843"/>
        <v>0</v>
      </c>
      <c r="V265" s="16">
        <f t="shared" si="844"/>
        <v>0</v>
      </c>
      <c r="W265" s="17">
        <f t="shared" si="845"/>
        <v>0</v>
      </c>
    </row>
    <row r="266" spans="1:23" s="144" customFormat="1" ht="17.25" thickBot="1" x14ac:dyDescent="0.25">
      <c r="A266" s="142"/>
      <c r="B266" s="143">
        <f>SUM(B267:B296)</f>
        <v>5</v>
      </c>
      <c r="C266" s="158"/>
      <c r="D266" s="221" t="s">
        <v>120</v>
      </c>
      <c r="E266" s="221"/>
      <c r="F266" s="221"/>
      <c r="G266" s="221"/>
      <c r="H266" s="221"/>
      <c r="I266" s="221"/>
      <c r="J266" s="221"/>
      <c r="K266" s="221"/>
      <c r="L266" s="221"/>
      <c r="M266" s="221"/>
      <c r="N266" s="221"/>
      <c r="O266" s="221"/>
      <c r="P266" s="221"/>
      <c r="Q266" s="221"/>
      <c r="R266" s="221"/>
      <c r="S266" s="221"/>
      <c r="T266" s="221"/>
      <c r="U266" s="221"/>
      <c r="V266" s="221"/>
      <c r="W266" s="222"/>
    </row>
    <row r="267" spans="1:23" ht="10.5" hidden="1" customHeight="1" x14ac:dyDescent="0.2">
      <c r="A267" s="11"/>
      <c r="B267" s="149">
        <f>COUNTA(Spieltag!K254:AA254)</f>
        <v>0</v>
      </c>
      <c r="C267" s="166">
        <f>Spieltag!A254</f>
        <v>1</v>
      </c>
      <c r="D267" s="21" t="str">
        <f>Spieltag!B254</f>
        <v>Lasse Riess</v>
      </c>
      <c r="E267" s="12" t="str">
        <f>Spieltag!C254</f>
        <v>Torwart</v>
      </c>
      <c r="F267" s="13" t="s">
        <v>88</v>
      </c>
      <c r="G267" s="14"/>
      <c r="H267" s="15">
        <f t="shared" ref="H267" si="854">IF(G267="x",10,0)</f>
        <v>0</v>
      </c>
      <c r="I267" s="14"/>
      <c r="J267" s="15">
        <f t="shared" ref="J267" si="855">IF((I267="x"),-10,0)</f>
        <v>0</v>
      </c>
      <c r="K267" s="14"/>
      <c r="L267" s="15">
        <f t="shared" ref="L267" si="856">IF((K267="x"),-20,0)</f>
        <v>0</v>
      </c>
      <c r="M267" s="14"/>
      <c r="N267" s="15">
        <f t="shared" ref="N267" si="857">IF((M267="x"),-30,0)</f>
        <v>0</v>
      </c>
      <c r="O267" s="16">
        <f t="shared" ref="O267:O296" si="858">IF(AND($V$10&gt;$W$10),20,IF($V$10=$W$10,10,0))</f>
        <v>20</v>
      </c>
      <c r="P267" s="16">
        <f t="shared" ref="P267:P296" si="859">IF(($V$10&lt;&gt;0),$V$10*10,-5)</f>
        <v>30</v>
      </c>
      <c r="Q267" s="16">
        <f t="shared" ref="Q267:Q269" si="860">IF(($W$10&lt;&gt;0),$W$10*-10,20)</f>
        <v>-10</v>
      </c>
      <c r="R267" s="14"/>
      <c r="S267" s="15">
        <f t="shared" ref="S267" si="861">R267*20</f>
        <v>0</v>
      </c>
      <c r="T267" s="14"/>
      <c r="U267" s="15">
        <f t="shared" ref="U267" si="862">T267*-15</f>
        <v>0</v>
      </c>
      <c r="V267" s="16">
        <f t="shared" ref="V267" si="863">IF(AND(R267=2),10,IF(R267=3,30,IF(R267=4,50,IF(R267=5,70,0))))</f>
        <v>0</v>
      </c>
      <c r="W267" s="17">
        <f t="shared" ref="W267" si="864">IF(G267="x",H267+J267+L267+N267+O267+P267+Q267+S267+U267+V267,0)</f>
        <v>0</v>
      </c>
    </row>
    <row r="268" spans="1:23" ht="10.5" customHeight="1" x14ac:dyDescent="0.2">
      <c r="A268" s="11"/>
      <c r="B268" s="149">
        <f>COUNTA(Spieltag!K255:AA255)</f>
        <v>1</v>
      </c>
      <c r="C268" s="166">
        <f>Spieltag!A255</f>
        <v>27</v>
      </c>
      <c r="D268" s="21" t="str">
        <f>Spieltag!B255</f>
        <v>Robin Zentner</v>
      </c>
      <c r="E268" s="12" t="str">
        <f>Spieltag!C255</f>
        <v>Torwart</v>
      </c>
      <c r="F268" s="13" t="s">
        <v>88</v>
      </c>
      <c r="G268" s="14" t="s">
        <v>676</v>
      </c>
      <c r="H268" s="15">
        <f t="shared" ref="H268:H270" si="865">IF(G268="x",10,0)</f>
        <v>10</v>
      </c>
      <c r="I268" s="14"/>
      <c r="J268" s="15">
        <f t="shared" ref="J268:J270" si="866">IF((I268="x"),-10,0)</f>
        <v>0</v>
      </c>
      <c r="K268" s="14"/>
      <c r="L268" s="15">
        <f t="shared" ref="L268:L270" si="867">IF((K268="x"),-20,0)</f>
        <v>0</v>
      </c>
      <c r="M268" s="14"/>
      <c r="N268" s="15">
        <f t="shared" ref="N268:N270" si="868">IF((M268="x"),-30,0)</f>
        <v>0</v>
      </c>
      <c r="O268" s="16">
        <f t="shared" si="858"/>
        <v>20</v>
      </c>
      <c r="P268" s="16">
        <f t="shared" si="859"/>
        <v>30</v>
      </c>
      <c r="Q268" s="16">
        <f t="shared" si="860"/>
        <v>-10</v>
      </c>
      <c r="R268" s="14"/>
      <c r="S268" s="15">
        <f t="shared" ref="S268:S269" si="869">R268*20</f>
        <v>0</v>
      </c>
      <c r="T268" s="14"/>
      <c r="U268" s="15">
        <f t="shared" ref="U268:U270" si="870">T268*-15</f>
        <v>0</v>
      </c>
      <c r="V268" s="16">
        <f t="shared" ref="V268:V270" si="871">IF(AND(R268=2),10,IF(R268=3,30,IF(R268=4,50,IF(R268=5,70,0))))</f>
        <v>0</v>
      </c>
      <c r="W268" s="17">
        <f t="shared" ref="W268:W270" si="872">IF(G268="x",H268+J268+L268+N268+O268+P268+Q268+S268+U268+V268,0)</f>
        <v>50</v>
      </c>
    </row>
    <row r="269" spans="1:23" ht="10.5" hidden="1" customHeight="1" x14ac:dyDescent="0.2">
      <c r="A269" s="11"/>
      <c r="B269" s="149">
        <f>COUNTA(Spieltag!K256:AA256)</f>
        <v>0</v>
      </c>
      <c r="C269" s="166">
        <f>Spieltag!A256</f>
        <v>33</v>
      </c>
      <c r="D269" s="21" t="str">
        <f>Spieltag!B256</f>
        <v>Daniel Batz</v>
      </c>
      <c r="E269" s="12" t="str">
        <f>Spieltag!C256</f>
        <v>Torwart</v>
      </c>
      <c r="F269" s="13" t="s">
        <v>88</v>
      </c>
      <c r="G269" s="14"/>
      <c r="H269" s="15">
        <f t="shared" si="865"/>
        <v>0</v>
      </c>
      <c r="I269" s="14"/>
      <c r="J269" s="15">
        <f t="shared" si="866"/>
        <v>0</v>
      </c>
      <c r="K269" s="14"/>
      <c r="L269" s="15">
        <f t="shared" si="867"/>
        <v>0</v>
      </c>
      <c r="M269" s="14"/>
      <c r="N269" s="15">
        <f t="shared" si="868"/>
        <v>0</v>
      </c>
      <c r="O269" s="16">
        <f t="shared" si="858"/>
        <v>20</v>
      </c>
      <c r="P269" s="16">
        <f t="shared" si="859"/>
        <v>30</v>
      </c>
      <c r="Q269" s="16">
        <f t="shared" si="860"/>
        <v>-10</v>
      </c>
      <c r="R269" s="14"/>
      <c r="S269" s="15">
        <f t="shared" si="869"/>
        <v>0</v>
      </c>
      <c r="T269" s="14"/>
      <c r="U269" s="15">
        <f t="shared" si="870"/>
        <v>0</v>
      </c>
      <c r="V269" s="16">
        <f t="shared" si="871"/>
        <v>0</v>
      </c>
      <c r="W269" s="17">
        <f t="shared" si="872"/>
        <v>0</v>
      </c>
    </row>
    <row r="270" spans="1:23" ht="10.5" hidden="1" customHeight="1" x14ac:dyDescent="0.2">
      <c r="A270" s="11"/>
      <c r="B270" s="149">
        <f>COUNTA(Spieltag!K257:AA257)</f>
        <v>0</v>
      </c>
      <c r="C270" s="166">
        <f>Spieltag!A257</f>
        <v>2</v>
      </c>
      <c r="D270" s="21" t="str">
        <f>Spieltag!B257</f>
        <v>Philipp Mwene (A)</v>
      </c>
      <c r="E270" s="12" t="str">
        <f>Spieltag!C257</f>
        <v>Abwehr</v>
      </c>
      <c r="F270" s="13" t="s">
        <v>88</v>
      </c>
      <c r="G270" s="14"/>
      <c r="H270" s="15">
        <f t="shared" si="865"/>
        <v>0</v>
      </c>
      <c r="I270" s="14"/>
      <c r="J270" s="15">
        <f t="shared" si="866"/>
        <v>0</v>
      </c>
      <c r="K270" s="14"/>
      <c r="L270" s="15">
        <f t="shared" si="867"/>
        <v>0</v>
      </c>
      <c r="M270" s="14"/>
      <c r="N270" s="15">
        <f t="shared" si="868"/>
        <v>0</v>
      </c>
      <c r="O270" s="16">
        <f t="shared" si="858"/>
        <v>20</v>
      </c>
      <c r="P270" s="16">
        <f t="shared" si="859"/>
        <v>30</v>
      </c>
      <c r="Q270" s="16">
        <f t="shared" ref="Q270:Q279" si="873">IF(($W$10&lt;&gt;0),$W$10*-10,15)</f>
        <v>-10</v>
      </c>
      <c r="R270" s="14"/>
      <c r="S270" s="15">
        <f t="shared" ref="S270" si="874">R270*15</f>
        <v>0</v>
      </c>
      <c r="T270" s="14"/>
      <c r="U270" s="15">
        <f t="shared" si="870"/>
        <v>0</v>
      </c>
      <c r="V270" s="16">
        <f t="shared" si="871"/>
        <v>0</v>
      </c>
      <c r="W270" s="17">
        <f t="shared" si="872"/>
        <v>0</v>
      </c>
    </row>
    <row r="271" spans="1:23" ht="10.5" customHeight="1" x14ac:dyDescent="0.2">
      <c r="A271" s="11"/>
      <c r="B271" s="149">
        <f>COUNTA(Spieltag!K258:AA258)</f>
        <v>1</v>
      </c>
      <c r="C271" s="166">
        <f>Spieltag!A258</f>
        <v>3</v>
      </c>
      <c r="D271" s="21" t="str">
        <f>Spieltag!B258</f>
        <v>Sepp van den Berg (A)</v>
      </c>
      <c r="E271" s="12" t="str">
        <f>Spieltag!C258</f>
        <v>Abwehr</v>
      </c>
      <c r="F271" s="13" t="s">
        <v>88</v>
      </c>
      <c r="G271" s="14" t="s">
        <v>676</v>
      </c>
      <c r="H271" s="15">
        <f t="shared" ref="H271" si="875">IF(G271="x",10,0)</f>
        <v>10</v>
      </c>
      <c r="I271" s="14"/>
      <c r="J271" s="15">
        <f t="shared" ref="J271" si="876">IF((I271="x"),-10,0)</f>
        <v>0</v>
      </c>
      <c r="K271" s="14"/>
      <c r="L271" s="15">
        <f t="shared" ref="L271" si="877">IF((K271="x"),-20,0)</f>
        <v>0</v>
      </c>
      <c r="M271" s="14"/>
      <c r="N271" s="15">
        <f t="shared" ref="N271" si="878">IF((M271="x"),-30,0)</f>
        <v>0</v>
      </c>
      <c r="O271" s="16">
        <f t="shared" si="858"/>
        <v>20</v>
      </c>
      <c r="P271" s="16">
        <f t="shared" si="859"/>
        <v>30</v>
      </c>
      <c r="Q271" s="16">
        <f t="shared" si="873"/>
        <v>-10</v>
      </c>
      <c r="R271" s="14">
        <v>1</v>
      </c>
      <c r="S271" s="15">
        <f t="shared" ref="S271" si="879">R271*15</f>
        <v>15</v>
      </c>
      <c r="T271" s="14"/>
      <c r="U271" s="15">
        <f t="shared" ref="U271" si="880">T271*-15</f>
        <v>0</v>
      </c>
      <c r="V271" s="16">
        <f t="shared" ref="V271" si="881">IF(AND(R271=2),10,IF(R271=3,30,IF(R271=4,50,IF(R271=5,70,0))))</f>
        <v>0</v>
      </c>
      <c r="W271" s="17">
        <f t="shared" ref="W271" si="882">IF(G271="x",H271+J271+L271+N271+O271+P271+Q271+S271+U271+V271,0)</f>
        <v>65</v>
      </c>
    </row>
    <row r="272" spans="1:23" ht="10.5" hidden="1" customHeight="1" x14ac:dyDescent="0.2">
      <c r="A272" s="11"/>
      <c r="B272" s="149">
        <f>COUNTA(Spieltag!K259:AA259)</f>
        <v>0</v>
      </c>
      <c r="C272" s="166">
        <f>Spieltag!A259</f>
        <v>5</v>
      </c>
      <c r="D272" s="21" t="str">
        <f>Spieltag!B259</f>
        <v>Maxim Leitsch</v>
      </c>
      <c r="E272" s="12" t="str">
        <f>Spieltag!C259</f>
        <v>Abwehr</v>
      </c>
      <c r="F272" s="13" t="s">
        <v>88</v>
      </c>
      <c r="G272" s="14"/>
      <c r="H272" s="15">
        <f t="shared" ref="H272:H279" si="883">IF(G272="x",10,0)</f>
        <v>0</v>
      </c>
      <c r="I272" s="14"/>
      <c r="J272" s="15">
        <f t="shared" ref="J272:J279" si="884">IF((I272="x"),-10,0)</f>
        <v>0</v>
      </c>
      <c r="K272" s="14"/>
      <c r="L272" s="15">
        <f t="shared" ref="L272:L279" si="885">IF((K272="x"),-20,0)</f>
        <v>0</v>
      </c>
      <c r="M272" s="14"/>
      <c r="N272" s="15">
        <f t="shared" ref="N272:N279" si="886">IF((M272="x"),-30,0)</f>
        <v>0</v>
      </c>
      <c r="O272" s="16">
        <f t="shared" si="858"/>
        <v>20</v>
      </c>
      <c r="P272" s="16">
        <f t="shared" si="859"/>
        <v>30</v>
      </c>
      <c r="Q272" s="16">
        <f t="shared" si="873"/>
        <v>-10</v>
      </c>
      <c r="R272" s="14"/>
      <c r="S272" s="15">
        <f t="shared" ref="S272:S279" si="887">R272*15</f>
        <v>0</v>
      </c>
      <c r="T272" s="14"/>
      <c r="U272" s="15">
        <f t="shared" ref="U272:U279" si="888">T272*-15</f>
        <v>0</v>
      </c>
      <c r="V272" s="16">
        <f t="shared" ref="V272:V279" si="889">IF(AND(R272=2),10,IF(R272=3,30,IF(R272=4,50,IF(R272=5,70,0))))</f>
        <v>0</v>
      </c>
      <c r="W272" s="17">
        <f t="shared" ref="W272:W279" si="890">IF(G272="x",H272+J272+L272+N272+O272+P272+Q272+S272+U272+V272,0)</f>
        <v>0</v>
      </c>
    </row>
    <row r="273" spans="1:23" ht="10.5" hidden="1" customHeight="1" x14ac:dyDescent="0.2">
      <c r="A273" s="11"/>
      <c r="B273" s="149">
        <f>COUNTA(Spieltag!K260:AA260)</f>
        <v>0</v>
      </c>
      <c r="C273" s="166">
        <f>Spieltag!A260</f>
        <v>16</v>
      </c>
      <c r="D273" s="21" t="str">
        <f>Spieltag!B260</f>
        <v>Stefan Bell</v>
      </c>
      <c r="E273" s="12" t="str">
        <f>Spieltag!C260</f>
        <v>Abwehr</v>
      </c>
      <c r="F273" s="13" t="s">
        <v>88</v>
      </c>
      <c r="G273" s="14"/>
      <c r="H273" s="15">
        <f t="shared" si="883"/>
        <v>0</v>
      </c>
      <c r="I273" s="14"/>
      <c r="J273" s="15">
        <f t="shared" si="884"/>
        <v>0</v>
      </c>
      <c r="K273" s="14"/>
      <c r="L273" s="15">
        <f t="shared" si="885"/>
        <v>0</v>
      </c>
      <c r="M273" s="14"/>
      <c r="N273" s="15">
        <f t="shared" si="886"/>
        <v>0</v>
      </c>
      <c r="O273" s="16">
        <f t="shared" si="858"/>
        <v>20</v>
      </c>
      <c r="P273" s="16">
        <f t="shared" si="859"/>
        <v>30</v>
      </c>
      <c r="Q273" s="16">
        <f t="shared" si="873"/>
        <v>-10</v>
      </c>
      <c r="R273" s="14"/>
      <c r="S273" s="15">
        <f t="shared" si="887"/>
        <v>0</v>
      </c>
      <c r="T273" s="14"/>
      <c r="U273" s="15">
        <f t="shared" si="888"/>
        <v>0</v>
      </c>
      <c r="V273" s="16">
        <f t="shared" si="889"/>
        <v>0</v>
      </c>
      <c r="W273" s="17">
        <f t="shared" si="890"/>
        <v>0</v>
      </c>
    </row>
    <row r="274" spans="1:23" ht="10.5" hidden="1" customHeight="1" x14ac:dyDescent="0.2">
      <c r="A274" s="11"/>
      <c r="B274" s="149">
        <f>COUNTA(Spieltag!K261:AA261)</f>
        <v>0</v>
      </c>
      <c r="C274" s="166">
        <f>Spieltag!A261</f>
        <v>19</v>
      </c>
      <c r="D274" s="21" t="str">
        <f>Spieltag!B261</f>
        <v>Anthony Caci (A)</v>
      </c>
      <c r="E274" s="12" t="str">
        <f>Spieltag!C261</f>
        <v>Abwehr</v>
      </c>
      <c r="F274" s="13" t="s">
        <v>88</v>
      </c>
      <c r="G274" s="14"/>
      <c r="H274" s="15">
        <f t="shared" si="883"/>
        <v>0</v>
      </c>
      <c r="I274" s="14"/>
      <c r="J274" s="15">
        <f t="shared" si="884"/>
        <v>0</v>
      </c>
      <c r="K274" s="14"/>
      <c r="L274" s="15">
        <f t="shared" si="885"/>
        <v>0</v>
      </c>
      <c r="M274" s="14"/>
      <c r="N274" s="15">
        <f t="shared" si="886"/>
        <v>0</v>
      </c>
      <c r="O274" s="16">
        <f t="shared" si="858"/>
        <v>20</v>
      </c>
      <c r="P274" s="16">
        <f t="shared" si="859"/>
        <v>30</v>
      </c>
      <c r="Q274" s="16">
        <f t="shared" si="873"/>
        <v>-10</v>
      </c>
      <c r="R274" s="14"/>
      <c r="S274" s="15">
        <f t="shared" si="887"/>
        <v>0</v>
      </c>
      <c r="T274" s="14"/>
      <c r="U274" s="15">
        <f t="shared" si="888"/>
        <v>0</v>
      </c>
      <c r="V274" s="16">
        <f t="shared" si="889"/>
        <v>0</v>
      </c>
      <c r="W274" s="17">
        <f t="shared" si="890"/>
        <v>0</v>
      </c>
    </row>
    <row r="275" spans="1:23" ht="10.5" hidden="1" customHeight="1" x14ac:dyDescent="0.2">
      <c r="A275" s="11"/>
      <c r="B275" s="149">
        <f>COUNTA(Spieltag!K262:AA262)</f>
        <v>0</v>
      </c>
      <c r="C275" s="166">
        <f>Spieltag!A262</f>
        <v>20</v>
      </c>
      <c r="D275" s="21" t="str">
        <f>Spieltag!B262</f>
        <v>Edimilson Fernandes (A)</v>
      </c>
      <c r="E275" s="12" t="str">
        <f>Spieltag!C262</f>
        <v>Abwehr</v>
      </c>
      <c r="F275" s="13" t="s">
        <v>88</v>
      </c>
      <c r="G275" s="14"/>
      <c r="H275" s="15">
        <f t="shared" si="883"/>
        <v>0</v>
      </c>
      <c r="I275" s="14"/>
      <c r="J275" s="15">
        <f t="shared" si="884"/>
        <v>0</v>
      </c>
      <c r="K275" s="14"/>
      <c r="L275" s="15">
        <f t="shared" si="885"/>
        <v>0</v>
      </c>
      <c r="M275" s="14"/>
      <c r="N275" s="15">
        <f t="shared" si="886"/>
        <v>0</v>
      </c>
      <c r="O275" s="16">
        <f t="shared" si="858"/>
        <v>20</v>
      </c>
      <c r="P275" s="16">
        <f t="shared" si="859"/>
        <v>30</v>
      </c>
      <c r="Q275" s="16">
        <f t="shared" si="873"/>
        <v>-10</v>
      </c>
      <c r="R275" s="14"/>
      <c r="S275" s="15">
        <f t="shared" si="887"/>
        <v>0</v>
      </c>
      <c r="T275" s="14"/>
      <c r="U275" s="15">
        <f t="shared" si="888"/>
        <v>0</v>
      </c>
      <c r="V275" s="16">
        <f t="shared" si="889"/>
        <v>0</v>
      </c>
      <c r="W275" s="17">
        <f t="shared" si="890"/>
        <v>0</v>
      </c>
    </row>
    <row r="276" spans="1:23" ht="10.5" hidden="1" customHeight="1" x14ac:dyDescent="0.2">
      <c r="A276" s="11"/>
      <c r="B276" s="149">
        <f>COUNTA(Spieltag!K263:AA263)</f>
        <v>0</v>
      </c>
      <c r="C276" s="166">
        <f>Spieltag!A263</f>
        <v>21</v>
      </c>
      <c r="D276" s="21" t="str">
        <f>Spieltag!B263</f>
        <v>Danny da Costa</v>
      </c>
      <c r="E276" s="12" t="str">
        <f>Spieltag!C263</f>
        <v>Abwehr</v>
      </c>
      <c r="F276" s="13" t="s">
        <v>88</v>
      </c>
      <c r="G276" s="14"/>
      <c r="H276" s="15">
        <f t="shared" si="883"/>
        <v>0</v>
      </c>
      <c r="I276" s="14"/>
      <c r="J276" s="15">
        <f t="shared" si="884"/>
        <v>0</v>
      </c>
      <c r="K276" s="14"/>
      <c r="L276" s="15">
        <f t="shared" si="885"/>
        <v>0</v>
      </c>
      <c r="M276" s="14"/>
      <c r="N276" s="15">
        <f t="shared" si="886"/>
        <v>0</v>
      </c>
      <c r="O276" s="16">
        <f t="shared" si="858"/>
        <v>20</v>
      </c>
      <c r="P276" s="16">
        <f t="shared" si="859"/>
        <v>30</v>
      </c>
      <c r="Q276" s="16">
        <f t="shared" si="873"/>
        <v>-10</v>
      </c>
      <c r="R276" s="14"/>
      <c r="S276" s="15">
        <f t="shared" si="887"/>
        <v>0</v>
      </c>
      <c r="T276" s="14"/>
      <c r="U276" s="15">
        <f t="shared" si="888"/>
        <v>0</v>
      </c>
      <c r="V276" s="16">
        <f t="shared" si="889"/>
        <v>0</v>
      </c>
      <c r="W276" s="17">
        <f t="shared" si="890"/>
        <v>0</v>
      </c>
    </row>
    <row r="277" spans="1:23" ht="10.5" hidden="1" customHeight="1" x14ac:dyDescent="0.2">
      <c r="A277" s="11"/>
      <c r="B277" s="149">
        <f>COUNTA(Spieltag!K264:AA264)</f>
        <v>0</v>
      </c>
      <c r="C277" s="166">
        <f>Spieltag!A264</f>
        <v>25</v>
      </c>
      <c r="D277" s="21" t="str">
        <f>Spieltag!B264</f>
        <v>Andreas Hanche-Olsen (A)</v>
      </c>
      <c r="E277" s="12" t="str">
        <f>Spieltag!C264</f>
        <v>Abwehr</v>
      </c>
      <c r="F277" s="13" t="s">
        <v>88</v>
      </c>
      <c r="G277" s="14"/>
      <c r="H277" s="15">
        <f t="shared" si="883"/>
        <v>0</v>
      </c>
      <c r="I277" s="14"/>
      <c r="J277" s="15">
        <f t="shared" si="884"/>
        <v>0</v>
      </c>
      <c r="K277" s="14"/>
      <c r="L277" s="15">
        <f t="shared" si="885"/>
        <v>0</v>
      </c>
      <c r="M277" s="14"/>
      <c r="N277" s="15">
        <f t="shared" si="886"/>
        <v>0</v>
      </c>
      <c r="O277" s="16">
        <f t="shared" si="858"/>
        <v>20</v>
      </c>
      <c r="P277" s="16">
        <f t="shared" si="859"/>
        <v>30</v>
      </c>
      <c r="Q277" s="16">
        <f t="shared" si="873"/>
        <v>-10</v>
      </c>
      <c r="R277" s="14"/>
      <c r="S277" s="15">
        <f t="shared" si="887"/>
        <v>0</v>
      </c>
      <c r="T277" s="14"/>
      <c r="U277" s="15">
        <f t="shared" si="888"/>
        <v>0</v>
      </c>
      <c r="V277" s="16">
        <f t="shared" si="889"/>
        <v>0</v>
      </c>
      <c r="W277" s="17">
        <f t="shared" si="890"/>
        <v>0</v>
      </c>
    </row>
    <row r="278" spans="1:23" ht="10.5" hidden="1" customHeight="1" x14ac:dyDescent="0.2">
      <c r="A278" s="11"/>
      <c r="B278" s="149">
        <f>COUNTA(Spieltag!K265:AA265)</f>
        <v>0</v>
      </c>
      <c r="C278" s="166">
        <f>Spieltag!A265</f>
        <v>30</v>
      </c>
      <c r="D278" s="21" t="str">
        <f>Spieltag!B265</f>
        <v>Silvan Widmer (A)</v>
      </c>
      <c r="E278" s="12" t="str">
        <f>Spieltag!C265</f>
        <v>Abwehr</v>
      </c>
      <c r="F278" s="13" t="s">
        <v>88</v>
      </c>
      <c r="G278" s="14"/>
      <c r="H278" s="15">
        <f t="shared" ref="H278" si="891">IF(G278="x",10,0)</f>
        <v>0</v>
      </c>
      <c r="I278" s="14"/>
      <c r="J278" s="15">
        <f t="shared" ref="J278" si="892">IF((I278="x"),-10,0)</f>
        <v>0</v>
      </c>
      <c r="K278" s="14"/>
      <c r="L278" s="15">
        <f t="shared" ref="L278" si="893">IF((K278="x"),-20,0)</f>
        <v>0</v>
      </c>
      <c r="M278" s="14"/>
      <c r="N278" s="15">
        <f t="shared" ref="N278" si="894">IF((M278="x"),-30,0)</f>
        <v>0</v>
      </c>
      <c r="O278" s="16">
        <f t="shared" si="858"/>
        <v>20</v>
      </c>
      <c r="P278" s="16">
        <f t="shared" si="859"/>
        <v>30</v>
      </c>
      <c r="Q278" s="16">
        <f t="shared" si="873"/>
        <v>-10</v>
      </c>
      <c r="R278" s="14"/>
      <c r="S278" s="15">
        <f t="shared" ref="S278" si="895">R278*15</f>
        <v>0</v>
      </c>
      <c r="T278" s="14"/>
      <c r="U278" s="15">
        <f t="shared" ref="U278" si="896">T278*-15</f>
        <v>0</v>
      </c>
      <c r="V278" s="16">
        <f t="shared" ref="V278" si="897">IF(AND(R278=2),10,IF(R278=3,30,IF(R278=4,50,IF(R278=5,70,0))))</f>
        <v>0</v>
      </c>
      <c r="W278" s="17">
        <f t="shared" ref="W278" si="898">IF(G278="x",H278+J278+L278+N278+O278+P278+Q278+S278+U278+V278,0)</f>
        <v>0</v>
      </c>
    </row>
    <row r="279" spans="1:23" ht="10.5" hidden="1" customHeight="1" x14ac:dyDescent="0.2">
      <c r="A279" s="11"/>
      <c r="B279" s="149">
        <f>COUNTA(Spieltag!K266:AA266)</f>
        <v>0</v>
      </c>
      <c r="C279" s="166">
        <f>Spieltag!A266</f>
        <v>47</v>
      </c>
      <c r="D279" s="21" t="str">
        <f>Spieltag!B266</f>
        <v>Lasse Wilhelm</v>
      </c>
      <c r="E279" s="12" t="str">
        <f>Spieltag!C266</f>
        <v>Abwehr</v>
      </c>
      <c r="F279" s="13" t="s">
        <v>88</v>
      </c>
      <c r="G279" s="14"/>
      <c r="H279" s="15">
        <f t="shared" si="883"/>
        <v>0</v>
      </c>
      <c r="I279" s="14"/>
      <c r="J279" s="15">
        <f t="shared" si="884"/>
        <v>0</v>
      </c>
      <c r="K279" s="14"/>
      <c r="L279" s="15">
        <f t="shared" si="885"/>
        <v>0</v>
      </c>
      <c r="M279" s="14"/>
      <c r="N279" s="15">
        <f t="shared" si="886"/>
        <v>0</v>
      </c>
      <c r="O279" s="16">
        <f t="shared" si="858"/>
        <v>20</v>
      </c>
      <c r="P279" s="16">
        <f t="shared" si="859"/>
        <v>30</v>
      </c>
      <c r="Q279" s="16">
        <f t="shared" si="873"/>
        <v>-10</v>
      </c>
      <c r="R279" s="14"/>
      <c r="S279" s="15">
        <f t="shared" si="887"/>
        <v>0</v>
      </c>
      <c r="T279" s="14"/>
      <c r="U279" s="15">
        <f t="shared" si="888"/>
        <v>0</v>
      </c>
      <c r="V279" s="16">
        <f t="shared" si="889"/>
        <v>0</v>
      </c>
      <c r="W279" s="17">
        <f t="shared" si="890"/>
        <v>0</v>
      </c>
    </row>
    <row r="280" spans="1:23" ht="10.5" customHeight="1" x14ac:dyDescent="0.2">
      <c r="A280" s="11"/>
      <c r="B280" s="149">
        <f>COUNTA(Spieltag!K267:AA267)</f>
        <v>1</v>
      </c>
      <c r="C280" s="166">
        <f>Spieltag!A267</f>
        <v>7</v>
      </c>
      <c r="D280" s="21" t="str">
        <f>Spieltag!B267</f>
        <v>Jae-Sung Lee</v>
      </c>
      <c r="E280" s="12" t="str">
        <f>Spieltag!C267</f>
        <v>Mittelfeld</v>
      </c>
      <c r="F280" s="13" t="s">
        <v>88</v>
      </c>
      <c r="G280" s="14" t="s">
        <v>676</v>
      </c>
      <c r="H280" s="15">
        <f t="shared" ref="H280:H288" si="899">IF(G280="x",10,0)</f>
        <v>10</v>
      </c>
      <c r="I280" s="14" t="s">
        <v>676</v>
      </c>
      <c r="J280" s="15">
        <f t="shared" ref="J280:J288" si="900">IF((I280="x"),-10,0)</f>
        <v>-10</v>
      </c>
      <c r="K280" s="14"/>
      <c r="L280" s="15">
        <f t="shared" ref="L280:L288" si="901">IF((K280="x"),-20,0)</f>
        <v>0</v>
      </c>
      <c r="M280" s="14"/>
      <c r="N280" s="15">
        <f t="shared" ref="N280:N288" si="902">IF((M280="x"),-30,0)</f>
        <v>0</v>
      </c>
      <c r="O280" s="16">
        <f t="shared" si="858"/>
        <v>20</v>
      </c>
      <c r="P280" s="16">
        <f t="shared" si="859"/>
        <v>30</v>
      </c>
      <c r="Q280" s="16">
        <f t="shared" ref="Q280:Q288" si="903">IF(($W$10&lt;&gt;0),$W$10*-10,10)</f>
        <v>-10</v>
      </c>
      <c r="R280" s="14"/>
      <c r="S280" s="15">
        <f t="shared" ref="S280:S288" si="904">R280*10</f>
        <v>0</v>
      </c>
      <c r="T280" s="14"/>
      <c r="U280" s="15">
        <f t="shared" ref="U280:U288" si="905">T280*-15</f>
        <v>0</v>
      </c>
      <c r="V280" s="16">
        <f t="shared" ref="V280:V288" si="906">IF(AND(R280=2),10,IF(R280=3,30,IF(R280=4,50,IF(R280=5,70,0))))</f>
        <v>0</v>
      </c>
      <c r="W280" s="17">
        <f t="shared" ref="W280:W288" si="907">IF(G280="x",H280+J280+L280+N280+O280+P280+Q280+S280+U280+V280,0)</f>
        <v>40</v>
      </c>
    </row>
    <row r="281" spans="1:23" ht="10.5" customHeight="1" x14ac:dyDescent="0.2">
      <c r="A281" s="11"/>
      <c r="B281" s="149">
        <f>COUNTA(Spieltag!K268:AA268)</f>
        <v>1</v>
      </c>
      <c r="C281" s="166">
        <f>Spieltag!A268</f>
        <v>8</v>
      </c>
      <c r="D281" s="21" t="str">
        <f>Spieltag!B268</f>
        <v>Leandro Barreiro (A)</v>
      </c>
      <c r="E281" s="12" t="str">
        <f>Spieltag!C268</f>
        <v>Mittelfeld</v>
      </c>
      <c r="F281" s="13" t="s">
        <v>88</v>
      </c>
      <c r="G281" s="14" t="s">
        <v>676</v>
      </c>
      <c r="H281" s="15">
        <f t="shared" si="899"/>
        <v>10</v>
      </c>
      <c r="I281" s="14"/>
      <c r="J281" s="15">
        <f t="shared" si="900"/>
        <v>0</v>
      </c>
      <c r="K281" s="14"/>
      <c r="L281" s="15">
        <f t="shared" si="901"/>
        <v>0</v>
      </c>
      <c r="M281" s="14"/>
      <c r="N281" s="15">
        <f t="shared" si="902"/>
        <v>0</v>
      </c>
      <c r="O281" s="16">
        <f t="shared" si="858"/>
        <v>20</v>
      </c>
      <c r="P281" s="16">
        <f t="shared" si="859"/>
        <v>30</v>
      </c>
      <c r="Q281" s="16">
        <f t="shared" si="903"/>
        <v>-10</v>
      </c>
      <c r="R281" s="14"/>
      <c r="S281" s="15">
        <f t="shared" si="904"/>
        <v>0</v>
      </c>
      <c r="T281" s="14"/>
      <c r="U281" s="15">
        <f t="shared" si="905"/>
        <v>0</v>
      </c>
      <c r="V281" s="16">
        <f t="shared" si="906"/>
        <v>0</v>
      </c>
      <c r="W281" s="17">
        <f t="shared" si="907"/>
        <v>50</v>
      </c>
    </row>
    <row r="282" spans="1:23" ht="10.5" hidden="1" customHeight="1" x14ac:dyDescent="0.2">
      <c r="A282" s="11"/>
      <c r="B282" s="149">
        <f>COUNTA(Spieltag!K269:AA269)</f>
        <v>0</v>
      </c>
      <c r="C282" s="166">
        <f>Spieltag!A269</f>
        <v>10</v>
      </c>
      <c r="D282" s="21" t="str">
        <f>Spieltag!B269</f>
        <v>Marco Richter</v>
      </c>
      <c r="E282" s="12" t="str">
        <f>Spieltag!C269</f>
        <v>Mittelfeld</v>
      </c>
      <c r="F282" s="13" t="s">
        <v>88</v>
      </c>
      <c r="G282" s="14"/>
      <c r="H282" s="15">
        <f t="shared" ref="H282" si="908">IF(G282="x",10,0)</f>
        <v>0</v>
      </c>
      <c r="I282" s="14"/>
      <c r="J282" s="15">
        <f t="shared" ref="J282" si="909">IF((I282="x"),-10,0)</f>
        <v>0</v>
      </c>
      <c r="K282" s="14"/>
      <c r="L282" s="15">
        <f t="shared" ref="L282" si="910">IF((K282="x"),-20,0)</f>
        <v>0</v>
      </c>
      <c r="M282" s="14"/>
      <c r="N282" s="15">
        <f t="shared" ref="N282" si="911">IF((M282="x"),-30,0)</f>
        <v>0</v>
      </c>
      <c r="O282" s="16">
        <f t="shared" si="858"/>
        <v>20</v>
      </c>
      <c r="P282" s="16">
        <f t="shared" si="859"/>
        <v>30</v>
      </c>
      <c r="Q282" s="16">
        <f t="shared" si="903"/>
        <v>-10</v>
      </c>
      <c r="R282" s="14"/>
      <c r="S282" s="15">
        <f t="shared" ref="S282" si="912">R282*10</f>
        <v>0</v>
      </c>
      <c r="T282" s="14"/>
      <c r="U282" s="15">
        <f t="shared" ref="U282" si="913">T282*-15</f>
        <v>0</v>
      </c>
      <c r="V282" s="16">
        <f t="shared" ref="V282" si="914">IF(AND(R282=2),10,IF(R282=3,30,IF(R282=4,50,IF(R282=5,70,0))))</f>
        <v>0</v>
      </c>
      <c r="W282" s="17">
        <f t="shared" ref="W282" si="915">IF(G282="x",H282+J282+L282+N282+O282+P282+Q282+S282+U282+V282,0)</f>
        <v>0</v>
      </c>
    </row>
    <row r="283" spans="1:23" ht="10.5" hidden="1" customHeight="1" x14ac:dyDescent="0.2">
      <c r="A283" s="11"/>
      <c r="B283" s="149">
        <f>COUNTA(Spieltag!K270:AA270)</f>
        <v>0</v>
      </c>
      <c r="C283" s="166">
        <f>Spieltag!A270</f>
        <v>14</v>
      </c>
      <c r="D283" s="21" t="str">
        <f>Spieltag!B270</f>
        <v>Tom Krauss</v>
      </c>
      <c r="E283" s="12" t="str">
        <f>Spieltag!C270</f>
        <v>Mittelfeld</v>
      </c>
      <c r="F283" s="13" t="s">
        <v>88</v>
      </c>
      <c r="G283" s="14"/>
      <c r="H283" s="15">
        <f t="shared" si="899"/>
        <v>0</v>
      </c>
      <c r="I283" s="14"/>
      <c r="J283" s="15">
        <f t="shared" si="900"/>
        <v>0</v>
      </c>
      <c r="K283" s="14"/>
      <c r="L283" s="15">
        <f t="shared" si="901"/>
        <v>0</v>
      </c>
      <c r="M283" s="14"/>
      <c r="N283" s="15">
        <f t="shared" si="902"/>
        <v>0</v>
      </c>
      <c r="O283" s="16">
        <f t="shared" si="858"/>
        <v>20</v>
      </c>
      <c r="P283" s="16">
        <f t="shared" si="859"/>
        <v>30</v>
      </c>
      <c r="Q283" s="16">
        <f t="shared" si="903"/>
        <v>-10</v>
      </c>
      <c r="R283" s="14"/>
      <c r="S283" s="15">
        <f t="shared" si="904"/>
        <v>0</v>
      </c>
      <c r="T283" s="14"/>
      <c r="U283" s="15">
        <f t="shared" si="905"/>
        <v>0</v>
      </c>
      <c r="V283" s="16">
        <f t="shared" si="906"/>
        <v>0</v>
      </c>
      <c r="W283" s="17">
        <f t="shared" si="907"/>
        <v>0</v>
      </c>
    </row>
    <row r="284" spans="1:23" ht="10.5" hidden="1" customHeight="1" x14ac:dyDescent="0.2">
      <c r="A284" s="11"/>
      <c r="B284" s="149">
        <f>COUNTA(Spieltag!K271:AA271)</f>
        <v>0</v>
      </c>
      <c r="C284" s="166">
        <f>Spieltag!A271</f>
        <v>18</v>
      </c>
      <c r="D284" s="21" t="str">
        <f>Spieltag!B271</f>
        <v>Nadiem Amiri</v>
      </c>
      <c r="E284" s="12" t="str">
        <f>Spieltag!C271</f>
        <v>Mittelfeld</v>
      </c>
      <c r="F284" s="13" t="s">
        <v>88</v>
      </c>
      <c r="G284" s="14"/>
      <c r="H284" s="15">
        <f t="shared" si="899"/>
        <v>0</v>
      </c>
      <c r="I284" s="14"/>
      <c r="J284" s="15">
        <f t="shared" si="900"/>
        <v>0</v>
      </c>
      <c r="K284" s="14"/>
      <c r="L284" s="15">
        <f t="shared" si="901"/>
        <v>0</v>
      </c>
      <c r="M284" s="14"/>
      <c r="N284" s="15">
        <f t="shared" si="902"/>
        <v>0</v>
      </c>
      <c r="O284" s="16">
        <f t="shared" si="858"/>
        <v>20</v>
      </c>
      <c r="P284" s="16">
        <f t="shared" si="859"/>
        <v>30</v>
      </c>
      <c r="Q284" s="16">
        <f t="shared" si="903"/>
        <v>-10</v>
      </c>
      <c r="R284" s="14"/>
      <c r="S284" s="15">
        <f t="shared" si="904"/>
        <v>0</v>
      </c>
      <c r="T284" s="14"/>
      <c r="U284" s="15">
        <f t="shared" si="905"/>
        <v>0</v>
      </c>
      <c r="V284" s="16">
        <f t="shared" si="906"/>
        <v>0</v>
      </c>
      <c r="W284" s="17">
        <f t="shared" si="907"/>
        <v>0</v>
      </c>
    </row>
    <row r="285" spans="1:23" ht="10.5" hidden="1" customHeight="1" x14ac:dyDescent="0.2">
      <c r="A285" s="11"/>
      <c r="B285" s="149">
        <f>COUNTA(Spieltag!K272:AA272)</f>
        <v>0</v>
      </c>
      <c r="C285" s="166">
        <f>Spieltag!A272</f>
        <v>24</v>
      </c>
      <c r="D285" s="21" t="str">
        <f>Spieltag!B272</f>
        <v>Merveille Papela</v>
      </c>
      <c r="E285" s="12" t="str">
        <f>Spieltag!C272</f>
        <v>Mittelfeld</v>
      </c>
      <c r="F285" s="13" t="s">
        <v>88</v>
      </c>
      <c r="G285" s="14"/>
      <c r="H285" s="15">
        <f t="shared" ref="H285" si="916">IF(G285="x",10,0)</f>
        <v>0</v>
      </c>
      <c r="I285" s="14"/>
      <c r="J285" s="15">
        <f t="shared" ref="J285" si="917">IF((I285="x"),-10,0)</f>
        <v>0</v>
      </c>
      <c r="K285" s="14"/>
      <c r="L285" s="15">
        <f t="shared" ref="L285" si="918">IF((K285="x"),-20,0)</f>
        <v>0</v>
      </c>
      <c r="M285" s="14"/>
      <c r="N285" s="15">
        <f t="shared" ref="N285" si="919">IF((M285="x"),-30,0)</f>
        <v>0</v>
      </c>
      <c r="O285" s="16">
        <f t="shared" si="858"/>
        <v>20</v>
      </c>
      <c r="P285" s="16">
        <f t="shared" si="859"/>
        <v>30</v>
      </c>
      <c r="Q285" s="16">
        <f t="shared" si="903"/>
        <v>-10</v>
      </c>
      <c r="R285" s="14"/>
      <c r="S285" s="15">
        <f t="shared" ref="S285" si="920">R285*10</f>
        <v>0</v>
      </c>
      <c r="T285" s="14"/>
      <c r="U285" s="15">
        <f t="shared" ref="U285" si="921">T285*-15</f>
        <v>0</v>
      </c>
      <c r="V285" s="16">
        <f t="shared" ref="V285" si="922">IF(AND(R285=2),10,IF(R285=3,30,IF(R285=4,50,IF(R285=5,70,0))))</f>
        <v>0</v>
      </c>
      <c r="W285" s="17">
        <f t="shared" ref="W285" si="923">IF(G285="x",H285+J285+L285+N285+O285+P285+Q285+S285+U285+V285,0)</f>
        <v>0</v>
      </c>
    </row>
    <row r="286" spans="1:23" ht="10.5" hidden="1" customHeight="1" x14ac:dyDescent="0.2">
      <c r="A286" s="11"/>
      <c r="B286" s="149">
        <f>COUNTA(Spieltag!K273:AA273)</f>
        <v>0</v>
      </c>
      <c r="C286" s="166">
        <f>Spieltag!A273</f>
        <v>31</v>
      </c>
      <c r="D286" s="21" t="str">
        <f>Spieltag!B273</f>
        <v>Dominik Kohr</v>
      </c>
      <c r="E286" s="12" t="str">
        <f>Spieltag!C273</f>
        <v>Mittelfeld</v>
      </c>
      <c r="F286" s="13" t="s">
        <v>88</v>
      </c>
      <c r="G286" s="14"/>
      <c r="H286" s="15">
        <f t="shared" si="899"/>
        <v>0</v>
      </c>
      <c r="I286" s="14"/>
      <c r="J286" s="15">
        <f t="shared" si="900"/>
        <v>0</v>
      </c>
      <c r="K286" s="14"/>
      <c r="L286" s="15">
        <f t="shared" si="901"/>
        <v>0</v>
      </c>
      <c r="M286" s="14"/>
      <c r="N286" s="15">
        <f t="shared" si="902"/>
        <v>0</v>
      </c>
      <c r="O286" s="16">
        <f t="shared" si="858"/>
        <v>20</v>
      </c>
      <c r="P286" s="16">
        <f t="shared" si="859"/>
        <v>30</v>
      </c>
      <c r="Q286" s="16">
        <f t="shared" si="903"/>
        <v>-10</v>
      </c>
      <c r="R286" s="14"/>
      <c r="S286" s="15">
        <f t="shared" si="904"/>
        <v>0</v>
      </c>
      <c r="T286" s="14"/>
      <c r="U286" s="15">
        <f t="shared" si="905"/>
        <v>0</v>
      </c>
      <c r="V286" s="16">
        <f t="shared" si="906"/>
        <v>0</v>
      </c>
      <c r="W286" s="17">
        <f t="shared" si="907"/>
        <v>0</v>
      </c>
    </row>
    <row r="287" spans="1:23" ht="10.5" hidden="1" customHeight="1" x14ac:dyDescent="0.2">
      <c r="A287" s="11"/>
      <c r="B287" s="149">
        <f>COUNTA(Spieltag!K274:AA274)</f>
        <v>0</v>
      </c>
      <c r="C287" s="166">
        <f>Spieltag!A274</f>
        <v>41</v>
      </c>
      <c r="D287" s="21" t="str">
        <f>Spieltag!B274</f>
        <v>Eniss Shabani</v>
      </c>
      <c r="E287" s="12" t="str">
        <f>Spieltag!C274</f>
        <v>Mittelfeld</v>
      </c>
      <c r="F287" s="13" t="s">
        <v>88</v>
      </c>
      <c r="G287" s="14"/>
      <c r="H287" s="15">
        <f t="shared" si="899"/>
        <v>0</v>
      </c>
      <c r="I287" s="14"/>
      <c r="J287" s="15">
        <f t="shared" si="900"/>
        <v>0</v>
      </c>
      <c r="K287" s="14"/>
      <c r="L287" s="15">
        <f t="shared" si="901"/>
        <v>0</v>
      </c>
      <c r="M287" s="14"/>
      <c r="N287" s="15">
        <f t="shared" si="902"/>
        <v>0</v>
      </c>
      <c r="O287" s="16">
        <f t="shared" si="858"/>
        <v>20</v>
      </c>
      <c r="P287" s="16">
        <f t="shared" si="859"/>
        <v>30</v>
      </c>
      <c r="Q287" s="16">
        <f t="shared" si="903"/>
        <v>-10</v>
      </c>
      <c r="R287" s="14"/>
      <c r="S287" s="15">
        <f t="shared" si="904"/>
        <v>0</v>
      </c>
      <c r="T287" s="14"/>
      <c r="U287" s="15">
        <f t="shared" si="905"/>
        <v>0</v>
      </c>
      <c r="V287" s="16">
        <f t="shared" si="906"/>
        <v>0</v>
      </c>
      <c r="W287" s="17">
        <f t="shared" si="907"/>
        <v>0</v>
      </c>
    </row>
    <row r="288" spans="1:23" ht="10.5" hidden="1" customHeight="1" x14ac:dyDescent="0.2">
      <c r="A288" s="11"/>
      <c r="B288" s="149">
        <f>COUNTA(Spieltag!K275:AA275)</f>
        <v>0</v>
      </c>
      <c r="C288" s="166">
        <f>Spieltag!A275</f>
        <v>45</v>
      </c>
      <c r="D288" s="21" t="str">
        <f>Spieltag!B275</f>
        <v>David Mamutovic</v>
      </c>
      <c r="E288" s="12" t="str">
        <f>Spieltag!C275</f>
        <v>Mittelfeld</v>
      </c>
      <c r="F288" s="13" t="s">
        <v>88</v>
      </c>
      <c r="G288" s="14"/>
      <c r="H288" s="15">
        <f t="shared" si="899"/>
        <v>0</v>
      </c>
      <c r="I288" s="14"/>
      <c r="J288" s="15">
        <f t="shared" si="900"/>
        <v>0</v>
      </c>
      <c r="K288" s="14"/>
      <c r="L288" s="15">
        <f t="shared" si="901"/>
        <v>0</v>
      </c>
      <c r="M288" s="14"/>
      <c r="N288" s="15">
        <f t="shared" si="902"/>
        <v>0</v>
      </c>
      <c r="O288" s="16">
        <f t="shared" si="858"/>
        <v>20</v>
      </c>
      <c r="P288" s="16">
        <f t="shared" si="859"/>
        <v>30</v>
      </c>
      <c r="Q288" s="16">
        <f t="shared" si="903"/>
        <v>-10</v>
      </c>
      <c r="R288" s="14"/>
      <c r="S288" s="15">
        <f t="shared" si="904"/>
        <v>0</v>
      </c>
      <c r="T288" s="14"/>
      <c r="U288" s="15">
        <f t="shared" si="905"/>
        <v>0</v>
      </c>
      <c r="V288" s="16">
        <f t="shared" si="906"/>
        <v>0</v>
      </c>
      <c r="W288" s="17">
        <f t="shared" si="907"/>
        <v>0</v>
      </c>
    </row>
    <row r="289" spans="1:23" ht="10.5" hidden="1" customHeight="1" x14ac:dyDescent="0.2">
      <c r="A289" s="11"/>
      <c r="B289" s="149">
        <f>COUNTA(Spieltag!K276:AA276)</f>
        <v>0</v>
      </c>
      <c r="C289" s="166">
        <f>Spieltag!A276</f>
        <v>9</v>
      </c>
      <c r="D289" s="21" t="str">
        <f>Spieltag!B276</f>
        <v>Karim Onisiwo (A)</v>
      </c>
      <c r="E289" s="12" t="str">
        <f>Spieltag!C276</f>
        <v>Sturm</v>
      </c>
      <c r="F289" s="13" t="s">
        <v>88</v>
      </c>
      <c r="G289" s="14"/>
      <c r="H289" s="15">
        <f>IF(G289="x",10,0)</f>
        <v>0</v>
      </c>
      <c r="I289" s="14"/>
      <c r="J289" s="15">
        <f>IF((I289="x"),-10,0)</f>
        <v>0</v>
      </c>
      <c r="K289" s="14"/>
      <c r="L289" s="15">
        <f>IF((K289="x"),-20,0)</f>
        <v>0</v>
      </c>
      <c r="M289" s="14"/>
      <c r="N289" s="15">
        <f>IF((M289="x"),-30,0)</f>
        <v>0</v>
      </c>
      <c r="O289" s="16">
        <f t="shared" si="858"/>
        <v>20</v>
      </c>
      <c r="P289" s="16">
        <f t="shared" si="859"/>
        <v>30</v>
      </c>
      <c r="Q289" s="16">
        <f>IF(($W$10&lt;&gt;0),$W$10*-10,5)</f>
        <v>-10</v>
      </c>
      <c r="R289" s="14"/>
      <c r="S289" s="15">
        <f>R289*10</f>
        <v>0</v>
      </c>
      <c r="T289" s="14"/>
      <c r="U289" s="15">
        <f>T289*-15</f>
        <v>0</v>
      </c>
      <c r="V289" s="16">
        <f>IF(AND(R289=2),10,IF(R289=3,30,IF(R289=4,50,IF(R289=5,70,0))))</f>
        <v>0</v>
      </c>
      <c r="W289" s="17">
        <f>IF(G289="x",H289+J289+L289+N289+O289+P289+Q289+S289+U289+V289,0)</f>
        <v>0</v>
      </c>
    </row>
    <row r="290" spans="1:23" ht="10.5" hidden="1" customHeight="1" x14ac:dyDescent="0.2">
      <c r="A290" s="11"/>
      <c r="B290" s="149">
        <f>COUNTA(Spieltag!K277:AA277)</f>
        <v>0</v>
      </c>
      <c r="C290" s="166">
        <f>Spieltag!A277</f>
        <v>11</v>
      </c>
      <c r="D290" s="21" t="str">
        <f>Spieltag!B277</f>
        <v>Jessic Ngankam</v>
      </c>
      <c r="E290" s="12" t="str">
        <f>Spieltag!C277</f>
        <v>Sturm</v>
      </c>
      <c r="F290" s="13" t="s">
        <v>88</v>
      </c>
      <c r="G290" s="14"/>
      <c r="H290" s="15">
        <f t="shared" ref="H290" si="924">IF(G290="x",10,0)</f>
        <v>0</v>
      </c>
      <c r="I290" s="14"/>
      <c r="J290" s="15">
        <f t="shared" ref="J290" si="925">IF((I290="x"),-10,0)</f>
        <v>0</v>
      </c>
      <c r="K290" s="14"/>
      <c r="L290" s="15">
        <f t="shared" ref="L290" si="926">IF((K290="x"),-20,0)</f>
        <v>0</v>
      </c>
      <c r="M290" s="14"/>
      <c r="N290" s="15">
        <f t="shared" ref="N290" si="927">IF((M290="x"),-30,0)</f>
        <v>0</v>
      </c>
      <c r="O290" s="16">
        <f t="shared" si="858"/>
        <v>20</v>
      </c>
      <c r="P290" s="16">
        <f t="shared" si="859"/>
        <v>30</v>
      </c>
      <c r="Q290" s="16">
        <f t="shared" ref="Q290:Q296" si="928">IF(($W$10&lt;&gt;0),$W$10*-10,5)</f>
        <v>-10</v>
      </c>
      <c r="R290" s="14"/>
      <c r="S290" s="15">
        <f t="shared" ref="S290" si="929">R290*10</f>
        <v>0</v>
      </c>
      <c r="T290" s="14"/>
      <c r="U290" s="15">
        <f t="shared" ref="U290" si="930">T290*-15</f>
        <v>0</v>
      </c>
      <c r="V290" s="16">
        <f t="shared" ref="V290" si="931">IF(AND(R290=2),10,IF(R290=3,30,IF(R290=4,50,IF(R290=5,70,0))))</f>
        <v>0</v>
      </c>
      <c r="W290" s="17">
        <f t="shared" ref="W290" si="932">IF(G290="x",H290+J290+L290+N290+O290+P290+Q290+S290+U290+V290,0)</f>
        <v>0</v>
      </c>
    </row>
    <row r="291" spans="1:23" ht="10.5" hidden="1" customHeight="1" x14ac:dyDescent="0.2">
      <c r="A291" s="11"/>
      <c r="B291" s="149">
        <f>COUNTA(Spieltag!K278:AA278)</f>
        <v>0</v>
      </c>
      <c r="C291" s="166">
        <f>Spieltag!A278</f>
        <v>17</v>
      </c>
      <c r="D291" s="21" t="str">
        <f>Spieltag!B278</f>
        <v>Ludovic Ajorque (A)</v>
      </c>
      <c r="E291" s="12" t="str">
        <f>Spieltag!C278</f>
        <v>Sturm</v>
      </c>
      <c r="F291" s="13" t="s">
        <v>88</v>
      </c>
      <c r="G291" s="14"/>
      <c r="H291" s="15">
        <f t="shared" ref="H291:H296" si="933">IF(G291="x",10,0)</f>
        <v>0</v>
      </c>
      <c r="I291" s="14"/>
      <c r="J291" s="15">
        <f t="shared" ref="J291:J296" si="934">IF((I291="x"),-10,0)</f>
        <v>0</v>
      </c>
      <c r="K291" s="14"/>
      <c r="L291" s="15">
        <f t="shared" ref="L291:L296" si="935">IF((K291="x"),-20,0)</f>
        <v>0</v>
      </c>
      <c r="M291" s="14"/>
      <c r="N291" s="15">
        <f t="shared" ref="N291:N296" si="936">IF((M291="x"),-30,0)</f>
        <v>0</v>
      </c>
      <c r="O291" s="16">
        <f t="shared" si="858"/>
        <v>20</v>
      </c>
      <c r="P291" s="16">
        <f t="shared" si="859"/>
        <v>30</v>
      </c>
      <c r="Q291" s="16">
        <f t="shared" si="928"/>
        <v>-10</v>
      </c>
      <c r="R291" s="14"/>
      <c r="S291" s="15">
        <f t="shared" ref="S291:S296" si="937">R291*10</f>
        <v>0</v>
      </c>
      <c r="T291" s="14"/>
      <c r="U291" s="15">
        <f t="shared" ref="U291:U296" si="938">T291*-15</f>
        <v>0</v>
      </c>
      <c r="V291" s="16">
        <f t="shared" ref="V291:V296" si="939">IF(AND(R291=2),10,IF(R291=3,30,IF(R291=4,50,IF(R291=5,70,0))))</f>
        <v>0</v>
      </c>
      <c r="W291" s="17">
        <f t="shared" ref="W291:W296" si="940">IF(G291="x",H291+J291+L291+N291+O291+P291+Q291+S291+U291+V291,0)</f>
        <v>0</v>
      </c>
    </row>
    <row r="292" spans="1:23" ht="10.5" customHeight="1" x14ac:dyDescent="0.2">
      <c r="A292" s="11"/>
      <c r="B292" s="149">
        <f>COUNTA(Spieltag!K279:AA279)</f>
        <v>1</v>
      </c>
      <c r="C292" s="166">
        <f>Spieltag!A279</f>
        <v>29</v>
      </c>
      <c r="D292" s="21" t="str">
        <f>Spieltag!B279</f>
        <v>Jonathan Burkardt</v>
      </c>
      <c r="E292" s="12" t="str">
        <f>Spieltag!C279</f>
        <v>Sturm</v>
      </c>
      <c r="F292" s="13" t="s">
        <v>88</v>
      </c>
      <c r="G292" s="14" t="s">
        <v>676</v>
      </c>
      <c r="H292" s="15">
        <f t="shared" ref="H292:H293" si="941">IF(G292="x",10,0)</f>
        <v>10</v>
      </c>
      <c r="I292" s="14"/>
      <c r="J292" s="15">
        <f t="shared" ref="J292:J293" si="942">IF((I292="x"),-10,0)</f>
        <v>0</v>
      </c>
      <c r="K292" s="14"/>
      <c r="L292" s="15">
        <f t="shared" ref="L292:L293" si="943">IF((K292="x"),-20,0)</f>
        <v>0</v>
      </c>
      <c r="M292" s="14"/>
      <c r="N292" s="15">
        <f t="shared" ref="N292:N293" si="944">IF((M292="x"),-30,0)</f>
        <v>0</v>
      </c>
      <c r="O292" s="16">
        <f t="shared" si="858"/>
        <v>20</v>
      </c>
      <c r="P292" s="16">
        <f t="shared" si="859"/>
        <v>30</v>
      </c>
      <c r="Q292" s="16">
        <f t="shared" si="928"/>
        <v>-10</v>
      </c>
      <c r="R292" s="14">
        <v>1</v>
      </c>
      <c r="S292" s="15">
        <f t="shared" ref="S292:S293" si="945">R292*10</f>
        <v>10</v>
      </c>
      <c r="T292" s="14"/>
      <c r="U292" s="15">
        <f t="shared" ref="U292:U293" si="946">T292*-15</f>
        <v>0</v>
      </c>
      <c r="V292" s="16">
        <f t="shared" ref="V292:V293" si="947">IF(AND(R292=2),10,IF(R292=3,30,IF(R292=4,50,IF(R292=5,70,0))))</f>
        <v>0</v>
      </c>
      <c r="W292" s="17">
        <f t="shared" ref="W292:W293" si="948">IF(G292="x",H292+J292+L292+N292+O292+P292+Q292+S292+U292+V292,0)</f>
        <v>60</v>
      </c>
    </row>
    <row r="293" spans="1:23" ht="10.5" hidden="1" customHeight="1" x14ac:dyDescent="0.2">
      <c r="A293" s="11"/>
      <c r="B293" s="149">
        <f>COUNTA(Spieltag!K280:AA280)</f>
        <v>0</v>
      </c>
      <c r="C293" s="166">
        <f>Spieltag!A280</f>
        <v>34</v>
      </c>
      <c r="D293" s="21" t="str">
        <f>Spieltag!B280</f>
        <v>Anwar El Ghazi (A)</v>
      </c>
      <c r="E293" s="12" t="str">
        <f>Spieltag!C280</f>
        <v>Sturm</v>
      </c>
      <c r="F293" s="13" t="s">
        <v>88</v>
      </c>
      <c r="G293" s="14"/>
      <c r="H293" s="15">
        <f t="shared" si="941"/>
        <v>0</v>
      </c>
      <c r="I293" s="14"/>
      <c r="J293" s="15">
        <f t="shared" si="942"/>
        <v>0</v>
      </c>
      <c r="K293" s="14"/>
      <c r="L293" s="15">
        <f t="shared" si="943"/>
        <v>0</v>
      </c>
      <c r="M293" s="14"/>
      <c r="N293" s="15">
        <f t="shared" si="944"/>
        <v>0</v>
      </c>
      <c r="O293" s="16">
        <f t="shared" si="858"/>
        <v>20</v>
      </c>
      <c r="P293" s="16">
        <f t="shared" si="859"/>
        <v>30</v>
      </c>
      <c r="Q293" s="16">
        <f t="shared" si="928"/>
        <v>-10</v>
      </c>
      <c r="R293" s="14"/>
      <c r="S293" s="15">
        <f t="shared" si="945"/>
        <v>0</v>
      </c>
      <c r="T293" s="14"/>
      <c r="U293" s="15">
        <f t="shared" si="946"/>
        <v>0</v>
      </c>
      <c r="V293" s="16">
        <f t="shared" si="947"/>
        <v>0</v>
      </c>
      <c r="W293" s="17">
        <f t="shared" si="948"/>
        <v>0</v>
      </c>
    </row>
    <row r="294" spans="1:23" ht="10.5" hidden="1" customHeight="1" x14ac:dyDescent="0.2">
      <c r="A294" s="11"/>
      <c r="B294" s="149">
        <f>COUNTA(Spieltag!K281:AA281)</f>
        <v>0</v>
      </c>
      <c r="C294" s="166">
        <f>Spieltag!A281</f>
        <v>43</v>
      </c>
      <c r="D294" s="21" t="str">
        <f>Spieltag!B281</f>
        <v>Brajan Gruda</v>
      </c>
      <c r="E294" s="12" t="str">
        <f>Spieltag!C281</f>
        <v>Sturm</v>
      </c>
      <c r="F294" s="13" t="s">
        <v>88</v>
      </c>
      <c r="G294" s="14"/>
      <c r="H294" s="15">
        <f t="shared" si="933"/>
        <v>0</v>
      </c>
      <c r="I294" s="14"/>
      <c r="J294" s="15">
        <f t="shared" si="934"/>
        <v>0</v>
      </c>
      <c r="K294" s="14"/>
      <c r="L294" s="15">
        <f t="shared" si="935"/>
        <v>0</v>
      </c>
      <c r="M294" s="14"/>
      <c r="N294" s="15">
        <f t="shared" si="936"/>
        <v>0</v>
      </c>
      <c r="O294" s="16">
        <f t="shared" si="858"/>
        <v>20</v>
      </c>
      <c r="P294" s="16">
        <f t="shared" si="859"/>
        <v>30</v>
      </c>
      <c r="Q294" s="16">
        <f t="shared" si="928"/>
        <v>-10</v>
      </c>
      <c r="R294" s="14"/>
      <c r="S294" s="15">
        <f t="shared" si="937"/>
        <v>0</v>
      </c>
      <c r="T294" s="14"/>
      <c r="U294" s="15">
        <f t="shared" si="938"/>
        <v>0</v>
      </c>
      <c r="V294" s="16">
        <f t="shared" si="939"/>
        <v>0</v>
      </c>
      <c r="W294" s="17">
        <f t="shared" si="940"/>
        <v>0</v>
      </c>
    </row>
    <row r="295" spans="1:23" ht="10.5" hidden="1" customHeight="1" x14ac:dyDescent="0.2">
      <c r="A295" s="11"/>
      <c r="B295" s="149">
        <f>COUNTA(Spieltag!K282:AA282)</f>
        <v>0</v>
      </c>
      <c r="C295" s="166">
        <f>Spieltag!A282</f>
        <v>44</v>
      </c>
      <c r="D295" s="21" t="str">
        <f>Spieltag!B282</f>
        <v>Nelson Weiper</v>
      </c>
      <c r="E295" s="12" t="str">
        <f>Spieltag!C282</f>
        <v>Sturm</v>
      </c>
      <c r="F295" s="13" t="s">
        <v>88</v>
      </c>
      <c r="G295" s="14"/>
      <c r="H295" s="15">
        <f t="shared" ref="H295" si="949">IF(G295="x",10,0)</f>
        <v>0</v>
      </c>
      <c r="I295" s="14"/>
      <c r="J295" s="15">
        <f t="shared" ref="J295" si="950">IF((I295="x"),-10,0)</f>
        <v>0</v>
      </c>
      <c r="K295" s="14"/>
      <c r="L295" s="15">
        <f t="shared" ref="L295" si="951">IF((K295="x"),-20,0)</f>
        <v>0</v>
      </c>
      <c r="M295" s="14"/>
      <c r="N295" s="15">
        <f t="shared" ref="N295" si="952">IF((M295="x"),-30,0)</f>
        <v>0</v>
      </c>
      <c r="O295" s="16">
        <f t="shared" si="858"/>
        <v>20</v>
      </c>
      <c r="P295" s="16">
        <f t="shared" si="859"/>
        <v>30</v>
      </c>
      <c r="Q295" s="16">
        <f t="shared" si="928"/>
        <v>-10</v>
      </c>
      <c r="R295" s="14"/>
      <c r="S295" s="15">
        <f t="shared" ref="S295" si="953">R295*10</f>
        <v>0</v>
      </c>
      <c r="T295" s="14"/>
      <c r="U295" s="15">
        <f t="shared" ref="U295" si="954">T295*-15</f>
        <v>0</v>
      </c>
      <c r="V295" s="16">
        <f t="shared" ref="V295" si="955">IF(AND(R295=2),10,IF(R295=3,30,IF(R295=4,50,IF(R295=5,70,0))))</f>
        <v>0</v>
      </c>
      <c r="W295" s="17">
        <f t="shared" ref="W295" si="956">IF(G295="x",H295+J295+L295+N295+O295+P295+Q295+S295+U295+V295,0)</f>
        <v>0</v>
      </c>
    </row>
    <row r="296" spans="1:23" ht="10.5" hidden="1" customHeight="1" x14ac:dyDescent="0.2">
      <c r="A296" s="11"/>
      <c r="B296" s="149">
        <f>COUNTA(Spieltag!K283:AA283)</f>
        <v>0</v>
      </c>
      <c r="C296" s="166">
        <f>Spieltag!A283</f>
        <v>48</v>
      </c>
      <c r="D296" s="21" t="str">
        <f>Spieltag!B283</f>
        <v>Marcel Müller</v>
      </c>
      <c r="E296" s="12" t="str">
        <f>Spieltag!C283</f>
        <v>Sturm</v>
      </c>
      <c r="F296" s="13" t="s">
        <v>88</v>
      </c>
      <c r="G296" s="14"/>
      <c r="H296" s="15">
        <f t="shared" si="933"/>
        <v>0</v>
      </c>
      <c r="I296" s="14"/>
      <c r="J296" s="15">
        <f t="shared" si="934"/>
        <v>0</v>
      </c>
      <c r="K296" s="14"/>
      <c r="L296" s="15">
        <f t="shared" si="935"/>
        <v>0</v>
      </c>
      <c r="M296" s="14"/>
      <c r="N296" s="15">
        <f t="shared" si="936"/>
        <v>0</v>
      </c>
      <c r="O296" s="16">
        <f t="shared" si="858"/>
        <v>20</v>
      </c>
      <c r="P296" s="16">
        <f t="shared" si="859"/>
        <v>30</v>
      </c>
      <c r="Q296" s="16">
        <f t="shared" si="928"/>
        <v>-10</v>
      </c>
      <c r="R296" s="14"/>
      <c r="S296" s="15">
        <f t="shared" si="937"/>
        <v>0</v>
      </c>
      <c r="T296" s="14"/>
      <c r="U296" s="15">
        <f t="shared" si="938"/>
        <v>0</v>
      </c>
      <c r="V296" s="16">
        <f t="shared" si="939"/>
        <v>0</v>
      </c>
      <c r="W296" s="17">
        <f t="shared" si="940"/>
        <v>0</v>
      </c>
    </row>
    <row r="297" spans="1:23" s="144" customFormat="1" ht="17.25" hidden="1" thickBot="1" x14ac:dyDescent="0.25">
      <c r="A297" s="142"/>
      <c r="B297" s="143">
        <f>SUM(B298:B327)</f>
        <v>0</v>
      </c>
      <c r="C297" s="158"/>
      <c r="D297" s="221" t="s">
        <v>73</v>
      </c>
      <c r="E297" s="221"/>
      <c r="F297" s="221"/>
      <c r="G297" s="221"/>
      <c r="H297" s="221"/>
      <c r="I297" s="221"/>
      <c r="J297" s="221"/>
      <c r="K297" s="221"/>
      <c r="L297" s="221"/>
      <c r="M297" s="221"/>
      <c r="N297" s="221"/>
      <c r="O297" s="221"/>
      <c r="P297" s="221"/>
      <c r="Q297" s="221"/>
      <c r="R297" s="221"/>
      <c r="S297" s="221"/>
      <c r="T297" s="221"/>
      <c r="U297" s="221"/>
      <c r="V297" s="221"/>
      <c r="W297" s="222"/>
    </row>
    <row r="298" spans="1:23" ht="10.5" hidden="1" customHeight="1" x14ac:dyDescent="0.2">
      <c r="A298" s="11"/>
      <c r="B298" s="149">
        <f>COUNTA(Spieltag!K285:AA285)</f>
        <v>0</v>
      </c>
      <c r="C298" s="166">
        <f>Spieltag!A285</f>
        <v>1</v>
      </c>
      <c r="D298" s="21" t="str">
        <f>Spieltag!B285</f>
        <v>Jonas Omlin (A)</v>
      </c>
      <c r="E298" s="12" t="str">
        <f>Spieltag!C285</f>
        <v>Torwart</v>
      </c>
      <c r="F298" s="13" t="s">
        <v>76</v>
      </c>
      <c r="G298" s="14"/>
      <c r="H298" s="15">
        <f>IF(G298="x",10,0)</f>
        <v>0</v>
      </c>
      <c r="I298" s="14"/>
      <c r="J298" s="15">
        <f>IF((I298="x"),-10,0)</f>
        <v>0</v>
      </c>
      <c r="K298" s="14"/>
      <c r="L298" s="15">
        <f>IF((K298="x"),-20,0)</f>
        <v>0</v>
      </c>
      <c r="M298" s="14"/>
      <c r="N298" s="15">
        <f>IF((M298="x"),-30,0)</f>
        <v>0</v>
      </c>
      <c r="O298" s="16">
        <f>IF(AND($V$11&gt;$W$11),20,IF($V$11=$W$11,10,0))</f>
        <v>0</v>
      </c>
      <c r="P298" s="16">
        <f>IF(($V$11&lt;&gt;0),$V$11*10,-5)</f>
        <v>-5</v>
      </c>
      <c r="Q298" s="16">
        <f>IF(($W$11&lt;&gt;0),$W$11*-10,20)</f>
        <v>-40</v>
      </c>
      <c r="R298" s="14"/>
      <c r="S298" s="15">
        <f>R298*20</f>
        <v>0</v>
      </c>
      <c r="T298" s="14"/>
      <c r="U298" s="15">
        <f>T298*-15</f>
        <v>0</v>
      </c>
      <c r="V298" s="16">
        <f>IF(AND(R298=2),10,IF(R298=3,30,IF(R298=4,50,IF(R298=5,70,0))))</f>
        <v>0</v>
      </c>
      <c r="W298" s="17">
        <f>IF(G298="x",H298+J298+L298+N298+O298+P298+Q298+S298+U298+V298,0)</f>
        <v>0</v>
      </c>
    </row>
    <row r="299" spans="1:23" ht="10.5" hidden="1" customHeight="1" x14ac:dyDescent="0.2">
      <c r="A299" s="11"/>
      <c r="B299" s="149">
        <f>COUNTA(Spieltag!K286:AA286)</f>
        <v>0</v>
      </c>
      <c r="C299" s="166">
        <f>Spieltag!A286</f>
        <v>21</v>
      </c>
      <c r="D299" s="21" t="str">
        <f>Spieltag!B286</f>
        <v>Tobias Sippel</v>
      </c>
      <c r="E299" s="12" t="str">
        <f>Spieltag!C286</f>
        <v>Torwart</v>
      </c>
      <c r="F299" s="13" t="s">
        <v>76</v>
      </c>
      <c r="G299" s="14"/>
      <c r="H299" s="15">
        <f t="shared" ref="H299:H302" si="957">IF(G299="x",10,0)</f>
        <v>0</v>
      </c>
      <c r="I299" s="14"/>
      <c r="J299" s="15">
        <f t="shared" ref="J299:J302" si="958">IF((I299="x"),-10,0)</f>
        <v>0</v>
      </c>
      <c r="K299" s="14"/>
      <c r="L299" s="15">
        <f t="shared" ref="L299:L302" si="959">IF((K299="x"),-20,0)</f>
        <v>0</v>
      </c>
      <c r="M299" s="14"/>
      <c r="N299" s="15">
        <f t="shared" ref="N299:N302" si="960">IF((M299="x"),-30,0)</f>
        <v>0</v>
      </c>
      <c r="O299" s="16">
        <f t="shared" ref="O299:O302" si="961">IF(AND($V$11&gt;$W$11),20,IF($V$11=$W$11,10,0))</f>
        <v>0</v>
      </c>
      <c r="P299" s="16">
        <f t="shared" ref="P299:P302" si="962">IF(($V$11&lt;&gt;0),$V$11*10,-5)</f>
        <v>-5</v>
      </c>
      <c r="Q299" s="16">
        <f t="shared" ref="Q299:Q302" si="963">IF(($W$11&lt;&gt;0),$W$11*-10,20)</f>
        <v>-40</v>
      </c>
      <c r="R299" s="14"/>
      <c r="S299" s="15">
        <f t="shared" ref="S299:S302" si="964">R299*20</f>
        <v>0</v>
      </c>
      <c r="T299" s="14"/>
      <c r="U299" s="15">
        <f t="shared" ref="U299:U302" si="965">T299*-15</f>
        <v>0</v>
      </c>
      <c r="V299" s="16">
        <f t="shared" ref="V299:V302" si="966">IF(AND(R299=2),10,IF(R299=3,30,IF(R299=4,50,IF(R299=5,70,0))))</f>
        <v>0</v>
      </c>
      <c r="W299" s="17">
        <f t="shared" ref="W299:W302" si="967">IF(G299="x",H299+J299+L299+N299+O299+P299+Q299+S299+U299+V299,0)</f>
        <v>0</v>
      </c>
    </row>
    <row r="300" spans="1:23" ht="10.5" hidden="1" customHeight="1" x14ac:dyDescent="0.2">
      <c r="A300" s="11"/>
      <c r="B300" s="149">
        <f>COUNTA(Spieltag!K287:AA287)</f>
        <v>0</v>
      </c>
      <c r="C300" s="166">
        <f>Spieltag!A287</f>
        <v>33</v>
      </c>
      <c r="D300" s="21" t="str">
        <f>Spieltag!B287</f>
        <v>Moritz Nicolas</v>
      </c>
      <c r="E300" s="12" t="str">
        <f>Spieltag!C287</f>
        <v>Torwart</v>
      </c>
      <c r="F300" s="13" t="s">
        <v>76</v>
      </c>
      <c r="G300" s="14"/>
      <c r="H300" s="15">
        <f t="shared" si="957"/>
        <v>0</v>
      </c>
      <c r="I300" s="14"/>
      <c r="J300" s="15">
        <f t="shared" si="958"/>
        <v>0</v>
      </c>
      <c r="K300" s="14"/>
      <c r="L300" s="15">
        <f t="shared" si="959"/>
        <v>0</v>
      </c>
      <c r="M300" s="14"/>
      <c r="N300" s="15">
        <f t="shared" si="960"/>
        <v>0</v>
      </c>
      <c r="O300" s="16">
        <f t="shared" si="961"/>
        <v>0</v>
      </c>
      <c r="P300" s="16">
        <f t="shared" si="962"/>
        <v>-5</v>
      </c>
      <c r="Q300" s="16">
        <f t="shared" si="963"/>
        <v>-40</v>
      </c>
      <c r="R300" s="14"/>
      <c r="S300" s="15">
        <f t="shared" si="964"/>
        <v>0</v>
      </c>
      <c r="T300" s="14"/>
      <c r="U300" s="15">
        <f t="shared" si="965"/>
        <v>0</v>
      </c>
      <c r="V300" s="16">
        <f t="shared" si="966"/>
        <v>0</v>
      </c>
      <c r="W300" s="17">
        <f t="shared" si="967"/>
        <v>0</v>
      </c>
    </row>
    <row r="301" spans="1:23" ht="10.5" hidden="1" customHeight="1" x14ac:dyDescent="0.2">
      <c r="A301" s="11"/>
      <c r="B301" s="149">
        <f>COUNTA(Spieltag!K288:AA288)</f>
        <v>0</v>
      </c>
      <c r="C301" s="166">
        <f>Spieltag!A288</f>
        <v>41</v>
      </c>
      <c r="D301" s="21" t="str">
        <f>Spieltag!B288</f>
        <v>Jan Olschowsky</v>
      </c>
      <c r="E301" s="12" t="str">
        <f>Spieltag!C288</f>
        <v>Torwart</v>
      </c>
      <c r="F301" s="13" t="s">
        <v>76</v>
      </c>
      <c r="G301" s="14"/>
      <c r="H301" s="15">
        <f t="shared" ref="H301" si="968">IF(G301="x",10,0)</f>
        <v>0</v>
      </c>
      <c r="I301" s="14"/>
      <c r="J301" s="15">
        <f t="shared" ref="J301" si="969">IF((I301="x"),-10,0)</f>
        <v>0</v>
      </c>
      <c r="K301" s="14"/>
      <c r="L301" s="15">
        <f t="shared" ref="L301" si="970">IF((K301="x"),-20,0)</f>
        <v>0</v>
      </c>
      <c r="M301" s="14"/>
      <c r="N301" s="15">
        <f t="shared" ref="N301" si="971">IF((M301="x"),-30,0)</f>
        <v>0</v>
      </c>
      <c r="O301" s="16">
        <f t="shared" si="961"/>
        <v>0</v>
      </c>
      <c r="P301" s="16">
        <f t="shared" si="962"/>
        <v>-5</v>
      </c>
      <c r="Q301" s="16">
        <f t="shared" si="963"/>
        <v>-40</v>
      </c>
      <c r="R301" s="14"/>
      <c r="S301" s="15">
        <f t="shared" ref="S301" si="972">R301*20</f>
        <v>0</v>
      </c>
      <c r="T301" s="14"/>
      <c r="U301" s="15">
        <f t="shared" ref="U301" si="973">T301*-15</f>
        <v>0</v>
      </c>
      <c r="V301" s="16">
        <f t="shared" ref="V301" si="974">IF(AND(R301=2),10,IF(R301=3,30,IF(R301=4,50,IF(R301=5,70,0))))</f>
        <v>0</v>
      </c>
      <c r="W301" s="17">
        <f t="shared" ref="W301" si="975">IF(G301="x",H301+J301+L301+N301+O301+P301+Q301+S301+U301+V301,0)</f>
        <v>0</v>
      </c>
    </row>
    <row r="302" spans="1:23" ht="10.5" hidden="1" customHeight="1" x14ac:dyDescent="0.2">
      <c r="A302" s="11"/>
      <c r="B302" s="149">
        <f>COUNTA(Spieltag!K289:AA289)</f>
        <v>0</v>
      </c>
      <c r="C302" s="166">
        <f>Spieltag!A289</f>
        <v>43</v>
      </c>
      <c r="D302" s="21" t="str">
        <f>Spieltag!B289</f>
        <v>Max Brüll</v>
      </c>
      <c r="E302" s="12" t="str">
        <f>Spieltag!C289</f>
        <v>Torwart</v>
      </c>
      <c r="F302" s="13" t="s">
        <v>76</v>
      </c>
      <c r="G302" s="14"/>
      <c r="H302" s="15">
        <f t="shared" si="957"/>
        <v>0</v>
      </c>
      <c r="I302" s="14"/>
      <c r="J302" s="15">
        <f t="shared" si="958"/>
        <v>0</v>
      </c>
      <c r="K302" s="14"/>
      <c r="L302" s="15">
        <f t="shared" si="959"/>
        <v>0</v>
      </c>
      <c r="M302" s="14"/>
      <c r="N302" s="15">
        <f t="shared" si="960"/>
        <v>0</v>
      </c>
      <c r="O302" s="16">
        <f t="shared" si="961"/>
        <v>0</v>
      </c>
      <c r="P302" s="16">
        <f t="shared" si="962"/>
        <v>-5</v>
      </c>
      <c r="Q302" s="16">
        <f t="shared" si="963"/>
        <v>-40</v>
      </c>
      <c r="R302" s="14"/>
      <c r="S302" s="15">
        <f t="shared" si="964"/>
        <v>0</v>
      </c>
      <c r="T302" s="14"/>
      <c r="U302" s="15">
        <f t="shared" si="965"/>
        <v>0</v>
      </c>
      <c r="V302" s="16">
        <f t="shared" si="966"/>
        <v>0</v>
      </c>
      <c r="W302" s="17">
        <f t="shared" si="967"/>
        <v>0</v>
      </c>
    </row>
    <row r="303" spans="1:23" ht="10.5" hidden="1" customHeight="1" x14ac:dyDescent="0.2">
      <c r="A303" s="11"/>
      <c r="B303" s="149">
        <f>COUNTA(Spieltag!K290:AA290)</f>
        <v>0</v>
      </c>
      <c r="C303" s="166">
        <f>Spieltag!A290</f>
        <v>2</v>
      </c>
      <c r="D303" s="21" t="str">
        <f>Spieltag!B290</f>
        <v>Fabio Chiarodia</v>
      </c>
      <c r="E303" s="12" t="str">
        <f>Spieltag!C290</f>
        <v>Abwehr</v>
      </c>
      <c r="F303" s="13" t="s">
        <v>76</v>
      </c>
      <c r="G303" s="14"/>
      <c r="H303" s="15">
        <f t="shared" ref="H303" si="976">IF(G303="x",10,0)</f>
        <v>0</v>
      </c>
      <c r="I303" s="14"/>
      <c r="J303" s="15">
        <f t="shared" ref="J303" si="977">IF((I303="x"),-10,0)</f>
        <v>0</v>
      </c>
      <c r="K303" s="14"/>
      <c r="L303" s="15">
        <f t="shared" ref="L303" si="978">IF((K303="x"),-20,0)</f>
        <v>0</v>
      </c>
      <c r="M303" s="14"/>
      <c r="N303" s="15">
        <f t="shared" ref="N303" si="979">IF((M303="x"),-30,0)</f>
        <v>0</v>
      </c>
      <c r="O303" s="16">
        <f t="shared" ref="O303:O313" si="980">IF(AND($V$11&gt;$W$11),20,IF($V$11=$W$11,10,0))</f>
        <v>0</v>
      </c>
      <c r="P303" s="16">
        <f t="shared" ref="P303:P313" si="981">IF(($V$11&lt;&gt;0),$V$11*10,-5)</f>
        <v>-5</v>
      </c>
      <c r="Q303" s="16">
        <f t="shared" ref="Q303:Q313" si="982">IF(($W$11&lt;&gt;0),$W$11*-15,15)</f>
        <v>-60</v>
      </c>
      <c r="R303" s="14"/>
      <c r="S303" s="15">
        <f t="shared" ref="S303" si="983">R303*15</f>
        <v>0</v>
      </c>
      <c r="T303" s="14"/>
      <c r="U303" s="15">
        <f t="shared" ref="U303" si="984">T303*-15</f>
        <v>0</v>
      </c>
      <c r="V303" s="16">
        <f t="shared" ref="V303" si="985">IF(AND(R303=2),10,IF(R303=3,30,IF(R303=4,50,IF(R303=5,70,0))))</f>
        <v>0</v>
      </c>
      <c r="W303" s="17">
        <f t="shared" ref="W303" si="986">IF(G303="x",H303+J303+L303+N303+O303+P303+Q303+S303+U303+V303,0)</f>
        <v>0</v>
      </c>
    </row>
    <row r="304" spans="1:23" ht="10.5" hidden="1" customHeight="1" x14ac:dyDescent="0.2">
      <c r="A304" s="11"/>
      <c r="B304" s="149">
        <f>COUNTA(Spieltag!K291:AA291)</f>
        <v>0</v>
      </c>
      <c r="C304" s="166">
        <f>Spieltag!A291</f>
        <v>3</v>
      </c>
      <c r="D304" s="21" t="str">
        <f>Spieltag!B291</f>
        <v>Ko Itakura (A)</v>
      </c>
      <c r="E304" s="12" t="str">
        <f>Spieltag!C291</f>
        <v>Abwehr</v>
      </c>
      <c r="F304" s="13" t="s">
        <v>76</v>
      </c>
      <c r="G304" s="14"/>
      <c r="H304" s="15">
        <f t="shared" ref="H304:H313" si="987">IF(G304="x",10,0)</f>
        <v>0</v>
      </c>
      <c r="I304" s="14"/>
      <c r="J304" s="15">
        <f t="shared" ref="J304:J313" si="988">IF((I304="x"),-10,0)</f>
        <v>0</v>
      </c>
      <c r="K304" s="14"/>
      <c r="L304" s="15">
        <f t="shared" ref="L304:L313" si="989">IF((K304="x"),-20,0)</f>
        <v>0</v>
      </c>
      <c r="M304" s="14"/>
      <c r="N304" s="15">
        <f t="shared" ref="N304:N313" si="990">IF((M304="x"),-30,0)</f>
        <v>0</v>
      </c>
      <c r="O304" s="16">
        <f t="shared" si="980"/>
        <v>0</v>
      </c>
      <c r="P304" s="16">
        <f t="shared" si="981"/>
        <v>-5</v>
      </c>
      <c r="Q304" s="16">
        <f t="shared" si="982"/>
        <v>-60</v>
      </c>
      <c r="R304" s="14"/>
      <c r="S304" s="15">
        <f t="shared" ref="S304:S313" si="991">R304*15</f>
        <v>0</v>
      </c>
      <c r="T304" s="14"/>
      <c r="U304" s="15">
        <f t="shared" ref="U304:U313" si="992">T304*-15</f>
        <v>0</v>
      </c>
      <c r="V304" s="16">
        <f t="shared" ref="V304:V313" si="993">IF(AND(R304=2),10,IF(R304=3,30,IF(R304=4,50,IF(R304=5,70,0))))</f>
        <v>0</v>
      </c>
      <c r="W304" s="17">
        <f t="shared" ref="W304:W313" si="994">IF(G304="x",H304+J304+L304+N304+O304+P304+Q304+S304+U304+V304,0)</f>
        <v>0</v>
      </c>
    </row>
    <row r="305" spans="1:23" ht="10.5" hidden="1" customHeight="1" x14ac:dyDescent="0.2">
      <c r="A305" s="11"/>
      <c r="B305" s="149">
        <f>COUNTA(Spieltag!K292:AA292)</f>
        <v>0</v>
      </c>
      <c r="C305" s="166">
        <f>Spieltag!A292</f>
        <v>5</v>
      </c>
      <c r="D305" s="21" t="str">
        <f>Spieltag!B292</f>
        <v>Marvin Friedrich</v>
      </c>
      <c r="E305" s="12" t="str">
        <f>Spieltag!C292</f>
        <v>Abwehr</v>
      </c>
      <c r="F305" s="13" t="s">
        <v>76</v>
      </c>
      <c r="G305" s="14"/>
      <c r="H305" s="15">
        <f t="shared" si="987"/>
        <v>0</v>
      </c>
      <c r="I305" s="14"/>
      <c r="J305" s="15">
        <f t="shared" si="988"/>
        <v>0</v>
      </c>
      <c r="K305" s="14"/>
      <c r="L305" s="15">
        <f t="shared" si="989"/>
        <v>0</v>
      </c>
      <c r="M305" s="14"/>
      <c r="N305" s="15">
        <f t="shared" si="990"/>
        <v>0</v>
      </c>
      <c r="O305" s="16">
        <f t="shared" si="980"/>
        <v>0</v>
      </c>
      <c r="P305" s="16">
        <f t="shared" si="981"/>
        <v>-5</v>
      </c>
      <c r="Q305" s="16">
        <f t="shared" si="982"/>
        <v>-60</v>
      </c>
      <c r="R305" s="14"/>
      <c r="S305" s="15">
        <f t="shared" si="991"/>
        <v>0</v>
      </c>
      <c r="T305" s="14"/>
      <c r="U305" s="15">
        <f t="shared" si="992"/>
        <v>0</v>
      </c>
      <c r="V305" s="16">
        <f t="shared" si="993"/>
        <v>0</v>
      </c>
      <c r="W305" s="17">
        <f t="shared" si="994"/>
        <v>0</v>
      </c>
    </row>
    <row r="306" spans="1:23" ht="10.5" hidden="1" customHeight="1" x14ac:dyDescent="0.2">
      <c r="A306" s="11"/>
      <c r="B306" s="149">
        <f>COUNTA(Spieltag!K293:AA293)</f>
        <v>0</v>
      </c>
      <c r="C306" s="166">
        <f>Spieltag!A293</f>
        <v>18</v>
      </c>
      <c r="D306" s="21" t="str">
        <f>Spieltag!B293</f>
        <v>Stefan Lainer (A)</v>
      </c>
      <c r="E306" s="12" t="str">
        <f>Spieltag!C293</f>
        <v>Abwehr</v>
      </c>
      <c r="F306" s="13" t="s">
        <v>76</v>
      </c>
      <c r="G306" s="14"/>
      <c r="H306" s="15">
        <f t="shared" si="987"/>
        <v>0</v>
      </c>
      <c r="I306" s="14"/>
      <c r="J306" s="15">
        <f t="shared" si="988"/>
        <v>0</v>
      </c>
      <c r="K306" s="14"/>
      <c r="L306" s="15">
        <f t="shared" si="989"/>
        <v>0</v>
      </c>
      <c r="M306" s="14"/>
      <c r="N306" s="15">
        <f t="shared" si="990"/>
        <v>0</v>
      </c>
      <c r="O306" s="16">
        <f t="shared" si="980"/>
        <v>0</v>
      </c>
      <c r="P306" s="16">
        <f t="shared" si="981"/>
        <v>-5</v>
      </c>
      <c r="Q306" s="16">
        <f t="shared" si="982"/>
        <v>-60</v>
      </c>
      <c r="R306" s="14"/>
      <c r="S306" s="15">
        <f t="shared" si="991"/>
        <v>0</v>
      </c>
      <c r="T306" s="14"/>
      <c r="U306" s="15">
        <f t="shared" si="992"/>
        <v>0</v>
      </c>
      <c r="V306" s="16">
        <f t="shared" si="993"/>
        <v>0</v>
      </c>
      <c r="W306" s="17">
        <f t="shared" si="994"/>
        <v>0</v>
      </c>
    </row>
    <row r="307" spans="1:23" ht="10.5" hidden="1" customHeight="1" x14ac:dyDescent="0.2">
      <c r="A307" s="11"/>
      <c r="B307" s="149">
        <f>COUNTA(Spieltag!K294:AA294)</f>
        <v>0</v>
      </c>
      <c r="C307" s="166">
        <f>Spieltag!A294</f>
        <v>20</v>
      </c>
      <c r="D307" s="21" t="str">
        <f>Spieltag!B294</f>
        <v>Luca Netz</v>
      </c>
      <c r="E307" s="12" t="str">
        <f>Spieltag!C294</f>
        <v>Abwehr</v>
      </c>
      <c r="F307" s="13" t="s">
        <v>76</v>
      </c>
      <c r="G307" s="14"/>
      <c r="H307" s="15">
        <f t="shared" si="987"/>
        <v>0</v>
      </c>
      <c r="I307" s="14"/>
      <c r="J307" s="15">
        <f t="shared" si="988"/>
        <v>0</v>
      </c>
      <c r="K307" s="14"/>
      <c r="L307" s="15">
        <f t="shared" si="989"/>
        <v>0</v>
      </c>
      <c r="M307" s="14"/>
      <c r="N307" s="15">
        <f t="shared" si="990"/>
        <v>0</v>
      </c>
      <c r="O307" s="16">
        <f t="shared" si="980"/>
        <v>0</v>
      </c>
      <c r="P307" s="16">
        <f t="shared" si="981"/>
        <v>-5</v>
      </c>
      <c r="Q307" s="16">
        <f t="shared" si="982"/>
        <v>-60</v>
      </c>
      <c r="R307" s="14"/>
      <c r="S307" s="15">
        <f t="shared" si="991"/>
        <v>0</v>
      </c>
      <c r="T307" s="14"/>
      <c r="U307" s="15">
        <f t="shared" si="992"/>
        <v>0</v>
      </c>
      <c r="V307" s="16">
        <f t="shared" si="993"/>
        <v>0</v>
      </c>
      <c r="W307" s="17">
        <f t="shared" si="994"/>
        <v>0</v>
      </c>
    </row>
    <row r="308" spans="1:23" ht="10.5" hidden="1" customHeight="1" x14ac:dyDescent="0.2">
      <c r="A308" s="11"/>
      <c r="B308" s="149">
        <f>COUNTA(Spieltag!K295:AA295)</f>
        <v>0</v>
      </c>
      <c r="C308" s="166">
        <f>Spieltag!A295</f>
        <v>24</v>
      </c>
      <c r="D308" s="21" t="str">
        <f>Spieltag!B295</f>
        <v>Tony Jantschke</v>
      </c>
      <c r="E308" s="12" t="str">
        <f>Spieltag!C295</f>
        <v>Abwehr</v>
      </c>
      <c r="F308" s="13" t="s">
        <v>76</v>
      </c>
      <c r="G308" s="14"/>
      <c r="H308" s="15">
        <f t="shared" si="987"/>
        <v>0</v>
      </c>
      <c r="I308" s="14"/>
      <c r="J308" s="15">
        <f t="shared" si="988"/>
        <v>0</v>
      </c>
      <c r="K308" s="14"/>
      <c r="L308" s="15">
        <f t="shared" si="989"/>
        <v>0</v>
      </c>
      <c r="M308" s="14"/>
      <c r="N308" s="15">
        <f t="shared" si="990"/>
        <v>0</v>
      </c>
      <c r="O308" s="16">
        <f t="shared" si="980"/>
        <v>0</v>
      </c>
      <c r="P308" s="16">
        <f t="shared" si="981"/>
        <v>-5</v>
      </c>
      <c r="Q308" s="16">
        <f t="shared" si="982"/>
        <v>-60</v>
      </c>
      <c r="R308" s="14"/>
      <c r="S308" s="15">
        <f t="shared" si="991"/>
        <v>0</v>
      </c>
      <c r="T308" s="14"/>
      <c r="U308" s="15">
        <f t="shared" si="992"/>
        <v>0</v>
      </c>
      <c r="V308" s="16">
        <f t="shared" si="993"/>
        <v>0</v>
      </c>
      <c r="W308" s="17">
        <f t="shared" si="994"/>
        <v>0</v>
      </c>
    </row>
    <row r="309" spans="1:23" ht="10.5" hidden="1" customHeight="1" x14ac:dyDescent="0.2">
      <c r="A309" s="11"/>
      <c r="B309" s="149">
        <f>COUNTA(Spieltag!K296:AA296)</f>
        <v>0</v>
      </c>
      <c r="C309" s="166">
        <f>Spieltag!A296</f>
        <v>26</v>
      </c>
      <c r="D309" s="21" t="str">
        <f>Spieltag!B296</f>
        <v>Lukas Ullrich</v>
      </c>
      <c r="E309" s="12" t="str">
        <f>Spieltag!C296</f>
        <v>Abwehr</v>
      </c>
      <c r="F309" s="13" t="s">
        <v>76</v>
      </c>
      <c r="G309" s="14"/>
      <c r="H309" s="15">
        <f t="shared" si="987"/>
        <v>0</v>
      </c>
      <c r="I309" s="14"/>
      <c r="J309" s="15">
        <f t="shared" si="988"/>
        <v>0</v>
      </c>
      <c r="K309" s="14"/>
      <c r="L309" s="15">
        <f t="shared" si="989"/>
        <v>0</v>
      </c>
      <c r="M309" s="14"/>
      <c r="N309" s="15">
        <f t="shared" si="990"/>
        <v>0</v>
      </c>
      <c r="O309" s="16">
        <f t="shared" si="980"/>
        <v>0</v>
      </c>
      <c r="P309" s="16">
        <f t="shared" si="981"/>
        <v>-5</v>
      </c>
      <c r="Q309" s="16">
        <f t="shared" si="982"/>
        <v>-60</v>
      </c>
      <c r="R309" s="14"/>
      <c r="S309" s="15">
        <f t="shared" si="991"/>
        <v>0</v>
      </c>
      <c r="T309" s="14"/>
      <c r="U309" s="15">
        <f t="shared" si="992"/>
        <v>0</v>
      </c>
      <c r="V309" s="16">
        <f t="shared" si="993"/>
        <v>0</v>
      </c>
      <c r="W309" s="17">
        <f t="shared" si="994"/>
        <v>0</v>
      </c>
    </row>
    <row r="310" spans="1:23" ht="10.5" hidden="1" customHeight="1" x14ac:dyDescent="0.2">
      <c r="A310" s="11"/>
      <c r="B310" s="149">
        <f>COUNTA(Spieltag!K297:AA297)</f>
        <v>0</v>
      </c>
      <c r="C310" s="166">
        <f>Spieltag!A297</f>
        <v>29</v>
      </c>
      <c r="D310" s="21" t="str">
        <f>Spieltag!B297</f>
        <v>Joe Scally (A)</v>
      </c>
      <c r="E310" s="12" t="str">
        <f>Spieltag!C297</f>
        <v>Abwehr</v>
      </c>
      <c r="F310" s="13" t="s">
        <v>76</v>
      </c>
      <c r="G310" s="14"/>
      <c r="H310" s="15">
        <f t="shared" si="987"/>
        <v>0</v>
      </c>
      <c r="I310" s="14"/>
      <c r="J310" s="15">
        <f t="shared" si="988"/>
        <v>0</v>
      </c>
      <c r="K310" s="14"/>
      <c r="L310" s="15">
        <f t="shared" si="989"/>
        <v>0</v>
      </c>
      <c r="M310" s="14"/>
      <c r="N310" s="15">
        <f t="shared" si="990"/>
        <v>0</v>
      </c>
      <c r="O310" s="16">
        <f t="shared" si="980"/>
        <v>0</v>
      </c>
      <c r="P310" s="16">
        <f t="shared" si="981"/>
        <v>-5</v>
      </c>
      <c r="Q310" s="16">
        <f t="shared" si="982"/>
        <v>-60</v>
      </c>
      <c r="R310" s="14"/>
      <c r="S310" s="15">
        <f t="shared" si="991"/>
        <v>0</v>
      </c>
      <c r="T310" s="14"/>
      <c r="U310" s="15">
        <f t="shared" si="992"/>
        <v>0</v>
      </c>
      <c r="V310" s="16">
        <f t="shared" si="993"/>
        <v>0</v>
      </c>
      <c r="W310" s="17">
        <f t="shared" si="994"/>
        <v>0</v>
      </c>
    </row>
    <row r="311" spans="1:23" ht="10.5" hidden="1" customHeight="1" x14ac:dyDescent="0.2">
      <c r="A311" s="11"/>
      <c r="B311" s="149">
        <f>COUNTA(Spieltag!K298:AA298)</f>
        <v>0</v>
      </c>
      <c r="C311" s="166">
        <f>Spieltag!A298</f>
        <v>30</v>
      </c>
      <c r="D311" s="21" t="str">
        <f>Spieltag!B298</f>
        <v>Nico Elvedi (A)</v>
      </c>
      <c r="E311" s="12" t="str">
        <f>Spieltag!C298</f>
        <v>Abwehr</v>
      </c>
      <c r="F311" s="13" t="s">
        <v>76</v>
      </c>
      <c r="G311" s="14"/>
      <c r="H311" s="15">
        <f t="shared" si="987"/>
        <v>0</v>
      </c>
      <c r="I311" s="14"/>
      <c r="J311" s="15">
        <f t="shared" si="988"/>
        <v>0</v>
      </c>
      <c r="K311" s="14"/>
      <c r="L311" s="15">
        <f t="shared" si="989"/>
        <v>0</v>
      </c>
      <c r="M311" s="14"/>
      <c r="N311" s="15">
        <f t="shared" si="990"/>
        <v>0</v>
      </c>
      <c r="O311" s="16">
        <f t="shared" si="980"/>
        <v>0</v>
      </c>
      <c r="P311" s="16">
        <f t="shared" si="981"/>
        <v>-5</v>
      </c>
      <c r="Q311" s="16">
        <f t="shared" si="982"/>
        <v>-60</v>
      </c>
      <c r="R311" s="14"/>
      <c r="S311" s="15">
        <f t="shared" si="991"/>
        <v>0</v>
      </c>
      <c r="T311" s="14"/>
      <c r="U311" s="15">
        <f t="shared" si="992"/>
        <v>0</v>
      </c>
      <c r="V311" s="16">
        <f t="shared" si="993"/>
        <v>0</v>
      </c>
      <c r="W311" s="17">
        <f t="shared" si="994"/>
        <v>0</v>
      </c>
    </row>
    <row r="312" spans="1:23" ht="10.5" hidden="1" customHeight="1" x14ac:dyDescent="0.2">
      <c r="A312" s="11"/>
      <c r="B312" s="149">
        <f>COUNTA(Spieltag!K299:AA299)</f>
        <v>0</v>
      </c>
      <c r="C312" s="166">
        <f>Spieltag!A299</f>
        <v>39</v>
      </c>
      <c r="D312" s="21" t="str">
        <f>Spieltag!B299</f>
        <v>Maximilian Wöber (A)</v>
      </c>
      <c r="E312" s="12" t="str">
        <f>Spieltag!C299</f>
        <v>Abwehr</v>
      </c>
      <c r="F312" s="13" t="s">
        <v>76</v>
      </c>
      <c r="G312" s="14"/>
      <c r="H312" s="15">
        <f t="shared" si="987"/>
        <v>0</v>
      </c>
      <c r="I312" s="14"/>
      <c r="J312" s="15">
        <f t="shared" si="988"/>
        <v>0</v>
      </c>
      <c r="K312" s="14"/>
      <c r="L312" s="15">
        <f t="shared" si="989"/>
        <v>0</v>
      </c>
      <c r="M312" s="14"/>
      <c r="N312" s="15">
        <f t="shared" si="990"/>
        <v>0</v>
      </c>
      <c r="O312" s="16">
        <f t="shared" si="980"/>
        <v>0</v>
      </c>
      <c r="P312" s="16">
        <f t="shared" si="981"/>
        <v>-5</v>
      </c>
      <c r="Q312" s="16">
        <f t="shared" si="982"/>
        <v>-60</v>
      </c>
      <c r="R312" s="14"/>
      <c r="S312" s="15">
        <f t="shared" si="991"/>
        <v>0</v>
      </c>
      <c r="T312" s="14"/>
      <c r="U312" s="15">
        <f t="shared" si="992"/>
        <v>0</v>
      </c>
      <c r="V312" s="16">
        <f t="shared" si="993"/>
        <v>0</v>
      </c>
      <c r="W312" s="17">
        <f t="shared" si="994"/>
        <v>0</v>
      </c>
    </row>
    <row r="313" spans="1:23" ht="10.5" hidden="1" customHeight="1" x14ac:dyDescent="0.2">
      <c r="A313" s="11"/>
      <c r="B313" s="149">
        <f>COUNTA(Spieltag!K300:AA300)</f>
        <v>0</v>
      </c>
      <c r="C313" s="166">
        <f>Spieltag!A300</f>
        <v>45</v>
      </c>
      <c r="D313" s="21" t="str">
        <f>Spieltag!B300</f>
        <v>Simon Walde</v>
      </c>
      <c r="E313" s="12" t="str">
        <f>Spieltag!C300</f>
        <v>Abwehr</v>
      </c>
      <c r="F313" s="13" t="s">
        <v>76</v>
      </c>
      <c r="G313" s="14"/>
      <c r="H313" s="15">
        <f t="shared" si="987"/>
        <v>0</v>
      </c>
      <c r="I313" s="14"/>
      <c r="J313" s="15">
        <f t="shared" si="988"/>
        <v>0</v>
      </c>
      <c r="K313" s="14"/>
      <c r="L313" s="15">
        <f t="shared" si="989"/>
        <v>0</v>
      </c>
      <c r="M313" s="14"/>
      <c r="N313" s="15">
        <f t="shared" si="990"/>
        <v>0</v>
      </c>
      <c r="O313" s="16">
        <f t="shared" si="980"/>
        <v>0</v>
      </c>
      <c r="P313" s="16">
        <f t="shared" si="981"/>
        <v>-5</v>
      </c>
      <c r="Q313" s="16">
        <f t="shared" si="982"/>
        <v>-60</v>
      </c>
      <c r="R313" s="14"/>
      <c r="S313" s="15">
        <f t="shared" si="991"/>
        <v>0</v>
      </c>
      <c r="T313" s="14"/>
      <c r="U313" s="15">
        <f t="shared" si="992"/>
        <v>0</v>
      </c>
      <c r="V313" s="16">
        <f t="shared" si="993"/>
        <v>0</v>
      </c>
      <c r="W313" s="17">
        <f t="shared" si="994"/>
        <v>0</v>
      </c>
    </row>
    <row r="314" spans="1:23" ht="10.5" hidden="1" customHeight="1" x14ac:dyDescent="0.2">
      <c r="A314" s="11"/>
      <c r="B314" s="149">
        <f>COUNTA(Spieltag!K301:AA301)</f>
        <v>0</v>
      </c>
      <c r="C314" s="166">
        <f>Spieltag!A301</f>
        <v>8</v>
      </c>
      <c r="D314" s="21" t="str">
        <f>Spieltag!B301</f>
        <v>Julian Weigl</v>
      </c>
      <c r="E314" s="12" t="str">
        <f>Spieltag!C301</f>
        <v>Mittelfeld</v>
      </c>
      <c r="F314" s="13" t="s">
        <v>76</v>
      </c>
      <c r="G314" s="14"/>
      <c r="H314" s="15">
        <f t="shared" ref="H314" si="995">IF(G314="x",10,0)</f>
        <v>0</v>
      </c>
      <c r="I314" s="14"/>
      <c r="J314" s="15">
        <f t="shared" ref="J314" si="996">IF((I314="x"),-10,0)</f>
        <v>0</v>
      </c>
      <c r="K314" s="14"/>
      <c r="L314" s="15">
        <f t="shared" ref="L314" si="997">IF((K314="x"),-20,0)</f>
        <v>0</v>
      </c>
      <c r="M314" s="14"/>
      <c r="N314" s="15">
        <f t="shared" ref="N314" si="998">IF((M314="x"),-30,0)</f>
        <v>0</v>
      </c>
      <c r="O314" s="16">
        <f t="shared" ref="O314:O327" si="999">IF(AND($V$11&gt;$W$11),20,IF($V$11=$W$11,10,0))</f>
        <v>0</v>
      </c>
      <c r="P314" s="16">
        <f t="shared" ref="P314:P327" si="1000">IF(($V$11&lt;&gt;0),$V$11*10,-5)</f>
        <v>-5</v>
      </c>
      <c r="Q314" s="16">
        <f t="shared" ref="Q314:Q321" si="1001">IF(($W$11&lt;&gt;0),$W$11*-10,10)</f>
        <v>-40</v>
      </c>
      <c r="R314" s="14"/>
      <c r="S314" s="15">
        <f t="shared" ref="S314" si="1002">R314*10</f>
        <v>0</v>
      </c>
      <c r="T314" s="14"/>
      <c r="U314" s="15">
        <f t="shared" ref="U314" si="1003">T314*-15</f>
        <v>0</v>
      </c>
      <c r="V314" s="16">
        <f>IF(AND(R314=2),10,IF(R314=3,30,IF(R314=4,50,IF(R314=5,70,0))))</f>
        <v>0</v>
      </c>
      <c r="W314" s="17">
        <f>IF(G314="x",H314+J314+L314+N314+O314+P314+Q314+S314+U314+V314,0)</f>
        <v>0</v>
      </c>
    </row>
    <row r="315" spans="1:23" ht="10.5" hidden="1" customHeight="1" x14ac:dyDescent="0.2">
      <c r="A315" s="11"/>
      <c r="B315" s="149">
        <f>COUNTA(Spieltag!K302:AA302)</f>
        <v>0</v>
      </c>
      <c r="C315" s="166">
        <f>Spieltag!A302</f>
        <v>9</v>
      </c>
      <c r="D315" s="21" t="str">
        <f>Spieltag!B302</f>
        <v>Franck Honorat (A)</v>
      </c>
      <c r="E315" s="12" t="str">
        <f>Spieltag!C302</f>
        <v>Mittelfeld</v>
      </c>
      <c r="F315" s="13" t="s">
        <v>76</v>
      </c>
      <c r="G315" s="14"/>
      <c r="H315" s="15">
        <f t="shared" ref="H315:H321" si="1004">IF(G315="x",10,0)</f>
        <v>0</v>
      </c>
      <c r="I315" s="14"/>
      <c r="J315" s="15">
        <f t="shared" ref="J315:J321" si="1005">IF((I315="x"),-10,0)</f>
        <v>0</v>
      </c>
      <c r="K315" s="14"/>
      <c r="L315" s="15">
        <f t="shared" ref="L315:L321" si="1006">IF((K315="x"),-20,0)</f>
        <v>0</v>
      </c>
      <c r="M315" s="14"/>
      <c r="N315" s="15">
        <f t="shared" ref="N315:N321" si="1007">IF((M315="x"),-30,0)</f>
        <v>0</v>
      </c>
      <c r="O315" s="16">
        <f t="shared" si="999"/>
        <v>0</v>
      </c>
      <c r="P315" s="16">
        <f t="shared" si="1000"/>
        <v>-5</v>
      </c>
      <c r="Q315" s="16">
        <f t="shared" si="1001"/>
        <v>-40</v>
      </c>
      <c r="R315" s="14"/>
      <c r="S315" s="15">
        <f t="shared" ref="S315:S321" si="1008">R315*10</f>
        <v>0</v>
      </c>
      <c r="T315" s="14"/>
      <c r="U315" s="15">
        <f t="shared" ref="U315:U321" si="1009">T315*-15</f>
        <v>0</v>
      </c>
      <c r="V315" s="16">
        <f t="shared" ref="V315:V321" si="1010">IF(AND(R315=2),10,IF(R315=3,30,IF(R315=4,50,IF(R315=5,70,0))))</f>
        <v>0</v>
      </c>
      <c r="W315" s="17">
        <f t="shared" ref="W315:W321" si="1011">IF(G315="x",H315+J315+L315+N315+O315+P315+Q315+S315+U315+V315,0)</f>
        <v>0</v>
      </c>
    </row>
    <row r="316" spans="1:23" ht="10.5" hidden="1" customHeight="1" x14ac:dyDescent="0.2">
      <c r="A316" s="11"/>
      <c r="B316" s="149">
        <f>COUNTA(Spieltag!K303:AA303)</f>
        <v>0</v>
      </c>
      <c r="C316" s="166">
        <f>Spieltag!A303</f>
        <v>10</v>
      </c>
      <c r="D316" s="21" t="str">
        <f>Spieltag!B303</f>
        <v>Florian Neuhaus</v>
      </c>
      <c r="E316" s="12" t="str">
        <f>Spieltag!C303</f>
        <v>Mittelfeld</v>
      </c>
      <c r="F316" s="13" t="s">
        <v>76</v>
      </c>
      <c r="G316" s="14"/>
      <c r="H316" s="15">
        <f t="shared" ref="H316" si="1012">IF(G316="x",10,0)</f>
        <v>0</v>
      </c>
      <c r="I316" s="14"/>
      <c r="J316" s="15">
        <f t="shared" ref="J316" si="1013">IF((I316="x"),-10,0)</f>
        <v>0</v>
      </c>
      <c r="K316" s="14"/>
      <c r="L316" s="15">
        <f t="shared" ref="L316" si="1014">IF((K316="x"),-20,0)</f>
        <v>0</v>
      </c>
      <c r="M316" s="14"/>
      <c r="N316" s="15">
        <f t="shared" ref="N316" si="1015">IF((M316="x"),-30,0)</f>
        <v>0</v>
      </c>
      <c r="O316" s="16">
        <f t="shared" si="999"/>
        <v>0</v>
      </c>
      <c r="P316" s="16">
        <f t="shared" si="1000"/>
        <v>-5</v>
      </c>
      <c r="Q316" s="16">
        <f t="shared" si="1001"/>
        <v>-40</v>
      </c>
      <c r="R316" s="14"/>
      <c r="S316" s="15">
        <f t="shared" ref="S316" si="1016">R316*10</f>
        <v>0</v>
      </c>
      <c r="T316" s="14"/>
      <c r="U316" s="15">
        <f t="shared" ref="U316" si="1017">T316*-15</f>
        <v>0</v>
      </c>
      <c r="V316" s="16">
        <f t="shared" ref="V316" si="1018">IF(AND(R316=2),10,IF(R316=3,30,IF(R316=4,50,IF(R316=5,70,0))))</f>
        <v>0</v>
      </c>
      <c r="W316" s="17">
        <f t="shared" ref="W316" si="1019">IF(G316="x",H316+J316+L316+N316+O316+P316+Q316+S316+U316+V316,0)</f>
        <v>0</v>
      </c>
    </row>
    <row r="317" spans="1:23" ht="10.5" hidden="1" customHeight="1" x14ac:dyDescent="0.2">
      <c r="A317" s="11"/>
      <c r="B317" s="149">
        <f>COUNTA(Spieltag!K304:AA304)</f>
        <v>0</v>
      </c>
      <c r="C317" s="166">
        <f>Spieltag!A304</f>
        <v>17</v>
      </c>
      <c r="D317" s="21" t="str">
        <f>Spieltag!B304</f>
        <v>Manu Koné (A)</v>
      </c>
      <c r="E317" s="12" t="str">
        <f>Spieltag!C304</f>
        <v>Mittelfeld</v>
      </c>
      <c r="F317" s="13" t="s">
        <v>76</v>
      </c>
      <c r="G317" s="14"/>
      <c r="H317" s="15">
        <f t="shared" si="1004"/>
        <v>0</v>
      </c>
      <c r="I317" s="14"/>
      <c r="J317" s="15">
        <f t="shared" si="1005"/>
        <v>0</v>
      </c>
      <c r="K317" s="14"/>
      <c r="L317" s="15">
        <f t="shared" si="1006"/>
        <v>0</v>
      </c>
      <c r="M317" s="14"/>
      <c r="N317" s="15">
        <f t="shared" si="1007"/>
        <v>0</v>
      </c>
      <c r="O317" s="16">
        <f t="shared" si="999"/>
        <v>0</v>
      </c>
      <c r="P317" s="16">
        <f t="shared" si="1000"/>
        <v>-5</v>
      </c>
      <c r="Q317" s="16">
        <f t="shared" si="1001"/>
        <v>-40</v>
      </c>
      <c r="R317" s="14"/>
      <c r="S317" s="15">
        <f t="shared" si="1008"/>
        <v>0</v>
      </c>
      <c r="T317" s="14"/>
      <c r="U317" s="15">
        <f t="shared" si="1009"/>
        <v>0</v>
      </c>
      <c r="V317" s="16">
        <f t="shared" si="1010"/>
        <v>0</v>
      </c>
      <c r="W317" s="17">
        <f t="shared" si="1011"/>
        <v>0</v>
      </c>
    </row>
    <row r="318" spans="1:23" ht="10.5" hidden="1" customHeight="1" x14ac:dyDescent="0.2">
      <c r="A318" s="11"/>
      <c r="B318" s="149">
        <f>COUNTA(Spieltag!K305:AA305)</f>
        <v>0</v>
      </c>
      <c r="C318" s="166">
        <f>Spieltag!A305</f>
        <v>19</v>
      </c>
      <c r="D318" s="21" t="str">
        <f>Spieltag!B305</f>
        <v>Nathan Ngoumou (A)</v>
      </c>
      <c r="E318" s="12" t="str">
        <f>Spieltag!C305</f>
        <v>Mittelfeld</v>
      </c>
      <c r="F318" s="13" t="s">
        <v>76</v>
      </c>
      <c r="G318" s="14"/>
      <c r="H318" s="15">
        <f t="shared" si="1004"/>
        <v>0</v>
      </c>
      <c r="I318" s="14"/>
      <c r="J318" s="15">
        <f t="shared" si="1005"/>
        <v>0</v>
      </c>
      <c r="K318" s="14"/>
      <c r="L318" s="15">
        <f t="shared" si="1006"/>
        <v>0</v>
      </c>
      <c r="M318" s="14"/>
      <c r="N318" s="15">
        <f t="shared" si="1007"/>
        <v>0</v>
      </c>
      <c r="O318" s="16">
        <f t="shared" si="999"/>
        <v>0</v>
      </c>
      <c r="P318" s="16">
        <f t="shared" si="1000"/>
        <v>-5</v>
      </c>
      <c r="Q318" s="16">
        <f t="shared" si="1001"/>
        <v>-40</v>
      </c>
      <c r="R318" s="14"/>
      <c r="S318" s="15">
        <f t="shared" si="1008"/>
        <v>0</v>
      </c>
      <c r="T318" s="14"/>
      <c r="U318" s="15">
        <f t="shared" si="1009"/>
        <v>0</v>
      </c>
      <c r="V318" s="16">
        <f t="shared" si="1010"/>
        <v>0</v>
      </c>
      <c r="W318" s="17">
        <f t="shared" si="1011"/>
        <v>0</v>
      </c>
    </row>
    <row r="319" spans="1:23" ht="10.5" hidden="1" customHeight="1" x14ac:dyDescent="0.2">
      <c r="A319" s="11"/>
      <c r="B319" s="149">
        <f>COUNTA(Spieltag!K306:AA306)</f>
        <v>0</v>
      </c>
      <c r="C319" s="166">
        <f>Spieltag!A306</f>
        <v>23</v>
      </c>
      <c r="D319" s="21" t="str">
        <f>Spieltag!B306</f>
        <v>Christoph Kramer</v>
      </c>
      <c r="E319" s="12" t="str">
        <f>Spieltag!C306</f>
        <v>Mittelfeld</v>
      </c>
      <c r="F319" s="13" t="s">
        <v>76</v>
      </c>
      <c r="G319" s="14"/>
      <c r="H319" s="15">
        <f t="shared" si="1004"/>
        <v>0</v>
      </c>
      <c r="I319" s="14"/>
      <c r="J319" s="15">
        <f t="shared" si="1005"/>
        <v>0</v>
      </c>
      <c r="K319" s="14"/>
      <c r="L319" s="15">
        <f t="shared" si="1006"/>
        <v>0</v>
      </c>
      <c r="M319" s="14"/>
      <c r="N319" s="15">
        <f t="shared" si="1007"/>
        <v>0</v>
      </c>
      <c r="O319" s="16">
        <f t="shared" si="999"/>
        <v>0</v>
      </c>
      <c r="P319" s="16">
        <f t="shared" si="1000"/>
        <v>-5</v>
      </c>
      <c r="Q319" s="16">
        <f t="shared" si="1001"/>
        <v>-40</v>
      </c>
      <c r="R319" s="14"/>
      <c r="S319" s="15">
        <f t="shared" si="1008"/>
        <v>0</v>
      </c>
      <c r="T319" s="14"/>
      <c r="U319" s="15">
        <f t="shared" si="1009"/>
        <v>0</v>
      </c>
      <c r="V319" s="16">
        <f t="shared" si="1010"/>
        <v>0</v>
      </c>
      <c r="W319" s="17">
        <f t="shared" si="1011"/>
        <v>0</v>
      </c>
    </row>
    <row r="320" spans="1:23" ht="10.5" hidden="1" customHeight="1" x14ac:dyDescent="0.2">
      <c r="A320" s="11"/>
      <c r="B320" s="149">
        <f>COUNTA(Spieltag!K307:AA307)</f>
        <v>0</v>
      </c>
      <c r="C320" s="166">
        <f>Spieltag!A307</f>
        <v>25</v>
      </c>
      <c r="D320" s="21" t="str">
        <f>Spieltag!B307</f>
        <v>Robin Hack</v>
      </c>
      <c r="E320" s="12" t="str">
        <f>Spieltag!C307</f>
        <v>Mittelfeld</v>
      </c>
      <c r="F320" s="13" t="s">
        <v>76</v>
      </c>
      <c r="G320" s="14"/>
      <c r="H320" s="15">
        <f t="shared" si="1004"/>
        <v>0</v>
      </c>
      <c r="I320" s="14"/>
      <c r="J320" s="15">
        <f t="shared" si="1005"/>
        <v>0</v>
      </c>
      <c r="K320" s="14"/>
      <c r="L320" s="15">
        <f t="shared" si="1006"/>
        <v>0</v>
      </c>
      <c r="M320" s="14"/>
      <c r="N320" s="15">
        <f t="shared" si="1007"/>
        <v>0</v>
      </c>
      <c r="O320" s="16">
        <f t="shared" si="999"/>
        <v>0</v>
      </c>
      <c r="P320" s="16">
        <f t="shared" si="1000"/>
        <v>-5</v>
      </c>
      <c r="Q320" s="16">
        <f t="shared" si="1001"/>
        <v>-40</v>
      </c>
      <c r="R320" s="14"/>
      <c r="S320" s="15">
        <f t="shared" si="1008"/>
        <v>0</v>
      </c>
      <c r="T320" s="14"/>
      <c r="U320" s="15">
        <f t="shared" si="1009"/>
        <v>0</v>
      </c>
      <c r="V320" s="16">
        <f t="shared" si="1010"/>
        <v>0</v>
      </c>
      <c r="W320" s="17">
        <f t="shared" si="1011"/>
        <v>0</v>
      </c>
    </row>
    <row r="321" spans="1:23" ht="10.5" hidden="1" customHeight="1" x14ac:dyDescent="0.2">
      <c r="A321" s="11"/>
      <c r="B321" s="149">
        <f>COUNTA(Spieltag!K308:AA308)</f>
        <v>0</v>
      </c>
      <c r="C321" s="166">
        <f>Spieltag!A308</f>
        <v>27</v>
      </c>
      <c r="D321" s="21" t="str">
        <f>Spieltag!B308</f>
        <v>Rocco Reitz</v>
      </c>
      <c r="E321" s="12" t="str">
        <f>Spieltag!C308</f>
        <v>Mittelfeld</v>
      </c>
      <c r="F321" s="13" t="s">
        <v>76</v>
      </c>
      <c r="G321" s="14"/>
      <c r="H321" s="15">
        <f t="shared" si="1004"/>
        <v>0</v>
      </c>
      <c r="I321" s="14"/>
      <c r="J321" s="15">
        <f t="shared" si="1005"/>
        <v>0</v>
      </c>
      <c r="K321" s="14"/>
      <c r="L321" s="15">
        <f t="shared" si="1006"/>
        <v>0</v>
      </c>
      <c r="M321" s="14"/>
      <c r="N321" s="15">
        <f t="shared" si="1007"/>
        <v>0</v>
      </c>
      <c r="O321" s="16">
        <f t="shared" si="999"/>
        <v>0</v>
      </c>
      <c r="P321" s="16">
        <f t="shared" si="1000"/>
        <v>-5</v>
      </c>
      <c r="Q321" s="16">
        <f t="shared" si="1001"/>
        <v>-40</v>
      </c>
      <c r="R321" s="14"/>
      <c r="S321" s="15">
        <f t="shared" si="1008"/>
        <v>0</v>
      </c>
      <c r="T321" s="14"/>
      <c r="U321" s="15">
        <f t="shared" si="1009"/>
        <v>0</v>
      </c>
      <c r="V321" s="16">
        <f t="shared" si="1010"/>
        <v>0</v>
      </c>
      <c r="W321" s="17">
        <f t="shared" si="1011"/>
        <v>0</v>
      </c>
    </row>
    <row r="322" spans="1:23" ht="10.5" hidden="1" customHeight="1" x14ac:dyDescent="0.2">
      <c r="A322" s="11"/>
      <c r="B322" s="149">
        <f>COUNTA(Spieltag!K309:AA309)</f>
        <v>0</v>
      </c>
      <c r="C322" s="166">
        <f>Spieltag!A309</f>
        <v>7</v>
      </c>
      <c r="D322" s="21" t="str">
        <f>Spieltag!B309</f>
        <v>Patrick Herrmann</v>
      </c>
      <c r="E322" s="12" t="str">
        <f>Spieltag!C309</f>
        <v>Sturm</v>
      </c>
      <c r="F322" s="13" t="s">
        <v>76</v>
      </c>
      <c r="G322" s="14"/>
      <c r="H322" s="15">
        <f>IF(G322="x",10,0)</f>
        <v>0</v>
      </c>
      <c r="I322" s="14"/>
      <c r="J322" s="15">
        <f>IF((I322="x"),-10,0)</f>
        <v>0</v>
      </c>
      <c r="K322" s="14"/>
      <c r="L322" s="15">
        <f>IF((K322="x"),-20,0)</f>
        <v>0</v>
      </c>
      <c r="M322" s="14"/>
      <c r="N322" s="15">
        <f>IF((M322="x"),-30,0)</f>
        <v>0</v>
      </c>
      <c r="O322" s="16">
        <f t="shared" si="999"/>
        <v>0</v>
      </c>
      <c r="P322" s="16">
        <f t="shared" si="1000"/>
        <v>-5</v>
      </c>
      <c r="Q322" s="16">
        <f>IF(($W$11&lt;&gt;0),$W$11*-10,5)</f>
        <v>-40</v>
      </c>
      <c r="R322" s="14"/>
      <c r="S322" s="15">
        <f>R322*10</f>
        <v>0</v>
      </c>
      <c r="T322" s="14"/>
      <c r="U322" s="15">
        <f>T322*-15</f>
        <v>0</v>
      </c>
      <c r="V322" s="16">
        <f>IF(AND(R322=2),10,IF(R322=3,30,IF(R322=4,50,IF(R322=5,70,0))))</f>
        <v>0</v>
      </c>
      <c r="W322" s="17">
        <f>IF(G322="x",H322+J322+L322+N322+O322+P322+Q322+S322+U322+V322,0)</f>
        <v>0</v>
      </c>
    </row>
    <row r="323" spans="1:23" ht="10.5" hidden="1" customHeight="1" x14ac:dyDescent="0.2">
      <c r="A323" s="11"/>
      <c r="B323" s="149">
        <f>COUNTA(Spieltag!K310:AA310)</f>
        <v>0</v>
      </c>
      <c r="C323" s="166">
        <f>Spieltag!A310</f>
        <v>13</v>
      </c>
      <c r="D323" s="21" t="str">
        <f>Spieltag!B310</f>
        <v>Jordan Siebatcheu (A)</v>
      </c>
      <c r="E323" s="12" t="str">
        <f>Spieltag!C310</f>
        <v>Sturm</v>
      </c>
      <c r="F323" s="13" t="s">
        <v>76</v>
      </c>
      <c r="G323" s="14"/>
      <c r="H323" s="15">
        <f>IF(G323="x",10,0)</f>
        <v>0</v>
      </c>
      <c r="I323" s="14"/>
      <c r="J323" s="15">
        <f>IF((I323="x"),-10,0)</f>
        <v>0</v>
      </c>
      <c r="K323" s="14"/>
      <c r="L323" s="15">
        <f>IF((K323="x"),-20,0)</f>
        <v>0</v>
      </c>
      <c r="M323" s="14"/>
      <c r="N323" s="15">
        <f>IF((M323="x"),-30,0)</f>
        <v>0</v>
      </c>
      <c r="O323" s="16">
        <f t="shared" si="999"/>
        <v>0</v>
      </c>
      <c r="P323" s="16">
        <f t="shared" si="1000"/>
        <v>-5</v>
      </c>
      <c r="Q323" s="16">
        <f t="shared" ref="Q323:Q327" si="1020">IF(($W$11&lt;&gt;0),$W$11*-10,5)</f>
        <v>-40</v>
      </c>
      <c r="R323" s="14"/>
      <c r="S323" s="15">
        <f>R323*10</f>
        <v>0</v>
      </c>
      <c r="T323" s="14"/>
      <c r="U323" s="15">
        <f>T323*-15</f>
        <v>0</v>
      </c>
      <c r="V323" s="16">
        <f>IF(AND(R323=2),10,IF(R323=3,30,IF(R323=4,50,IF(R323=5,70,0))))</f>
        <v>0</v>
      </c>
      <c r="W323" s="17">
        <f>IF(G323="x",H323+J323+L323+N323+O323+P323+Q323+S323+U323+V323,0)</f>
        <v>0</v>
      </c>
    </row>
    <row r="324" spans="1:23" ht="10.5" hidden="1" customHeight="1" x14ac:dyDescent="0.2">
      <c r="A324" s="11"/>
      <c r="B324" s="149">
        <f>COUNTA(Spieltag!K311:AA311)</f>
        <v>0</v>
      </c>
      <c r="C324" s="166">
        <f>Spieltag!A311</f>
        <v>14</v>
      </c>
      <c r="D324" s="21" t="str">
        <f>Spieltag!B311</f>
        <v>Alassane Plea (A)</v>
      </c>
      <c r="E324" s="12" t="str">
        <f>Spieltag!C311</f>
        <v>Sturm</v>
      </c>
      <c r="F324" s="13" t="s">
        <v>76</v>
      </c>
      <c r="G324" s="14"/>
      <c r="H324" s="15">
        <f t="shared" ref="H324:H327" si="1021">IF(G324="x",10,0)</f>
        <v>0</v>
      </c>
      <c r="I324" s="14"/>
      <c r="J324" s="15">
        <f t="shared" ref="J324:J327" si="1022">IF((I324="x"),-10,0)</f>
        <v>0</v>
      </c>
      <c r="K324" s="14"/>
      <c r="L324" s="15">
        <f t="shared" ref="L324:L327" si="1023">IF((K324="x"),-20,0)</f>
        <v>0</v>
      </c>
      <c r="M324" s="14"/>
      <c r="N324" s="15">
        <f t="shared" ref="N324:N327" si="1024">IF((M324="x"),-30,0)</f>
        <v>0</v>
      </c>
      <c r="O324" s="16">
        <f t="shared" si="999"/>
        <v>0</v>
      </c>
      <c r="P324" s="16">
        <f t="shared" si="1000"/>
        <v>-5</v>
      </c>
      <c r="Q324" s="16">
        <f t="shared" si="1020"/>
        <v>-40</v>
      </c>
      <c r="R324" s="14"/>
      <c r="S324" s="15">
        <f t="shared" ref="S324:S327" si="1025">R324*10</f>
        <v>0</v>
      </c>
      <c r="T324" s="14"/>
      <c r="U324" s="15">
        <f t="shared" ref="U324:U327" si="1026">T324*-15</f>
        <v>0</v>
      </c>
      <c r="V324" s="16">
        <f t="shared" ref="V324:V327" si="1027">IF(AND(R324=2),10,IF(R324=3,30,IF(R324=4,50,IF(R324=5,70,0))))</f>
        <v>0</v>
      </c>
      <c r="W324" s="17">
        <f t="shared" ref="W324:W327" si="1028">IF(G324="x",H324+J324+L324+N324+O324+P324+Q324+S324+U324+V324,0)</f>
        <v>0</v>
      </c>
    </row>
    <row r="325" spans="1:23" ht="10.5" hidden="1" customHeight="1" x14ac:dyDescent="0.2">
      <c r="A325" s="11"/>
      <c r="B325" s="149">
        <f>COUNTA(Spieltag!K312:AA312)</f>
        <v>0</v>
      </c>
      <c r="C325" s="166">
        <f>Spieltag!A312</f>
        <v>28</v>
      </c>
      <c r="D325" s="21" t="str">
        <f>Spieltag!B312</f>
        <v>Grant-Leon Ranos</v>
      </c>
      <c r="E325" s="12" t="str">
        <f>Spieltag!C312</f>
        <v>Sturm</v>
      </c>
      <c r="F325" s="13" t="s">
        <v>76</v>
      </c>
      <c r="G325" s="14"/>
      <c r="H325" s="15">
        <f t="shared" si="1021"/>
        <v>0</v>
      </c>
      <c r="I325" s="14"/>
      <c r="J325" s="15">
        <f t="shared" si="1022"/>
        <v>0</v>
      </c>
      <c r="K325" s="14"/>
      <c r="L325" s="15">
        <f t="shared" si="1023"/>
        <v>0</v>
      </c>
      <c r="M325" s="14"/>
      <c r="N325" s="15">
        <f t="shared" si="1024"/>
        <v>0</v>
      </c>
      <c r="O325" s="16">
        <f t="shared" si="999"/>
        <v>0</v>
      </c>
      <c r="P325" s="16">
        <f t="shared" si="1000"/>
        <v>-5</v>
      </c>
      <c r="Q325" s="16">
        <f t="shared" si="1020"/>
        <v>-40</v>
      </c>
      <c r="R325" s="14"/>
      <c r="S325" s="15">
        <f t="shared" si="1025"/>
        <v>0</v>
      </c>
      <c r="T325" s="14"/>
      <c r="U325" s="15">
        <f t="shared" si="1026"/>
        <v>0</v>
      </c>
      <c r="V325" s="16">
        <f t="shared" si="1027"/>
        <v>0</v>
      </c>
      <c r="W325" s="17">
        <f t="shared" si="1028"/>
        <v>0</v>
      </c>
    </row>
    <row r="326" spans="1:23" ht="10.5" hidden="1" customHeight="1" x14ac:dyDescent="0.2">
      <c r="A326" s="11"/>
      <c r="B326" s="149">
        <f>COUNTA(Spieltag!K313:AA313)</f>
        <v>0</v>
      </c>
      <c r="C326" s="166">
        <f>Spieltag!A313</f>
        <v>31</v>
      </c>
      <c r="D326" s="21" t="str">
        <f>Spieltag!B313</f>
        <v>Tomáš Čvančara (A)</v>
      </c>
      <c r="E326" s="12" t="str">
        <f>Spieltag!C313</f>
        <v>Sturm</v>
      </c>
      <c r="F326" s="13" t="s">
        <v>76</v>
      </c>
      <c r="G326" s="14"/>
      <c r="H326" s="15">
        <f t="shared" ref="H326" si="1029">IF(G326="x",10,0)</f>
        <v>0</v>
      </c>
      <c r="I326" s="14"/>
      <c r="J326" s="15">
        <f t="shared" ref="J326" si="1030">IF((I326="x"),-10,0)</f>
        <v>0</v>
      </c>
      <c r="K326" s="14"/>
      <c r="L326" s="15">
        <f t="shared" ref="L326" si="1031">IF((K326="x"),-20,0)</f>
        <v>0</v>
      </c>
      <c r="M326" s="14"/>
      <c r="N326" s="15">
        <f t="shared" ref="N326" si="1032">IF((M326="x"),-30,0)</f>
        <v>0</v>
      </c>
      <c r="O326" s="16">
        <f t="shared" si="999"/>
        <v>0</v>
      </c>
      <c r="P326" s="16">
        <f t="shared" si="1000"/>
        <v>-5</v>
      </c>
      <c r="Q326" s="16">
        <f t="shared" si="1020"/>
        <v>-40</v>
      </c>
      <c r="R326" s="14"/>
      <c r="S326" s="15">
        <f t="shared" ref="S326" si="1033">R326*10</f>
        <v>0</v>
      </c>
      <c r="T326" s="14"/>
      <c r="U326" s="15">
        <f t="shared" ref="U326" si="1034">T326*-15</f>
        <v>0</v>
      </c>
      <c r="V326" s="16">
        <f t="shared" ref="V326" si="1035">IF(AND(R326=2),10,IF(R326=3,30,IF(R326=4,50,IF(R326=5,70,0))))</f>
        <v>0</v>
      </c>
      <c r="W326" s="17">
        <f t="shared" ref="W326" si="1036">IF(G326="x",H326+J326+L326+N326+O326+P326+Q326+S326+U326+V326,0)</f>
        <v>0</v>
      </c>
    </row>
    <row r="327" spans="1:23" ht="10.5" hidden="1" customHeight="1" x14ac:dyDescent="0.2">
      <c r="A327" s="11"/>
      <c r="B327" s="149">
        <f>COUNTA(Spieltag!K314:AA314)</f>
        <v>0</v>
      </c>
      <c r="C327" s="166">
        <f>Spieltag!A314</f>
        <v>49</v>
      </c>
      <c r="D327" s="21" t="str">
        <f>Spieltag!B314</f>
        <v>Shio Fukuda (A)</v>
      </c>
      <c r="E327" s="12" t="str">
        <f>Spieltag!C314</f>
        <v>Sturm</v>
      </c>
      <c r="F327" s="13" t="s">
        <v>76</v>
      </c>
      <c r="G327" s="14"/>
      <c r="H327" s="15">
        <f t="shared" si="1021"/>
        <v>0</v>
      </c>
      <c r="I327" s="14"/>
      <c r="J327" s="15">
        <f t="shared" si="1022"/>
        <v>0</v>
      </c>
      <c r="K327" s="14"/>
      <c r="L327" s="15">
        <f t="shared" si="1023"/>
        <v>0</v>
      </c>
      <c r="M327" s="14"/>
      <c r="N327" s="15">
        <f t="shared" si="1024"/>
        <v>0</v>
      </c>
      <c r="O327" s="16">
        <f t="shared" si="999"/>
        <v>0</v>
      </c>
      <c r="P327" s="16">
        <f t="shared" si="1000"/>
        <v>-5</v>
      </c>
      <c r="Q327" s="16">
        <f t="shared" si="1020"/>
        <v>-40</v>
      </c>
      <c r="R327" s="14"/>
      <c r="S327" s="15">
        <f t="shared" si="1025"/>
        <v>0</v>
      </c>
      <c r="T327" s="14"/>
      <c r="U327" s="15">
        <f t="shared" si="1026"/>
        <v>0</v>
      </c>
      <c r="V327" s="16">
        <f t="shared" si="1027"/>
        <v>0</v>
      </c>
      <c r="W327" s="17">
        <f t="shared" si="1028"/>
        <v>0</v>
      </c>
    </row>
    <row r="328" spans="1:23" s="144" customFormat="1" ht="17.25" hidden="1" thickBot="1" x14ac:dyDescent="0.25">
      <c r="A328" s="142"/>
      <c r="B328" s="143">
        <f>SUM(B329:B358)</f>
        <v>0</v>
      </c>
      <c r="C328" s="158"/>
      <c r="D328" s="221" t="s">
        <v>181</v>
      </c>
      <c r="E328" s="221"/>
      <c r="F328" s="221"/>
      <c r="G328" s="221"/>
      <c r="H328" s="221"/>
      <c r="I328" s="221"/>
      <c r="J328" s="221"/>
      <c r="K328" s="221"/>
      <c r="L328" s="221"/>
      <c r="M328" s="221"/>
      <c r="N328" s="221"/>
      <c r="O328" s="221"/>
      <c r="P328" s="221"/>
      <c r="Q328" s="221"/>
      <c r="R328" s="221"/>
      <c r="S328" s="221"/>
      <c r="T328" s="221"/>
      <c r="U328" s="221"/>
      <c r="V328" s="221"/>
      <c r="W328" s="222"/>
    </row>
    <row r="329" spans="1:23" ht="10.5" hidden="1" customHeight="1" x14ac:dyDescent="0.2">
      <c r="A329" s="11"/>
      <c r="B329" s="150">
        <f>COUNTA(Spieltag!K316:AA316)</f>
        <v>0</v>
      </c>
      <c r="C329" s="166">
        <f>Spieltag!A316</f>
        <v>1</v>
      </c>
      <c r="D329" s="21" t="str">
        <f>Spieltag!B316</f>
        <v>Marvin Schwäbe</v>
      </c>
      <c r="E329" s="151" t="str">
        <f>Spieltag!C316</f>
        <v>Torwart</v>
      </c>
      <c r="F329" s="152" t="s">
        <v>176</v>
      </c>
      <c r="G329" s="153"/>
      <c r="H329" s="154">
        <f>IF(G329="x",10,0)</f>
        <v>0</v>
      </c>
      <c r="I329" s="153"/>
      <c r="J329" s="154">
        <f>IF((I329="x"),-10,0)</f>
        <v>0</v>
      </c>
      <c r="K329" s="153"/>
      <c r="L329" s="154">
        <f>IF((K329="x"),-20,0)</f>
        <v>0</v>
      </c>
      <c r="M329" s="153"/>
      <c r="N329" s="154">
        <f>IF((M329="x"),-30,0)</f>
        <v>0</v>
      </c>
      <c r="O329" s="155">
        <f t="shared" ref="O329:O341" si="1037">IF(AND($V$5&gt;$W$5),20,IF($V$5=$W$5,10,0))</f>
        <v>0</v>
      </c>
      <c r="P329" s="155">
        <f t="shared" ref="P329:P341" si="1038">IF(($V$5&lt;&gt;0),$V$5*10,-5)</f>
        <v>10</v>
      </c>
      <c r="Q329" s="155">
        <f>IF(($W$5&lt;&gt;0),$W$5*-10,20)</f>
        <v>-40</v>
      </c>
      <c r="R329" s="153"/>
      <c r="S329" s="154">
        <f>R329*20</f>
        <v>0</v>
      </c>
      <c r="T329" s="153"/>
      <c r="U329" s="154">
        <f>T329*-15</f>
        <v>0</v>
      </c>
      <c r="V329" s="155">
        <f>IF(AND(R329=2),10,IF(R329=3,30,IF(R329=4,50,IF(R329=5,70,0))))</f>
        <v>0</v>
      </c>
      <c r="W329" s="156">
        <f>IF(G329="x",H329+J329+L329+N329+O329+P329+Q329+S329+U329+V329,0)</f>
        <v>0</v>
      </c>
    </row>
    <row r="330" spans="1:23" ht="10.5" hidden="1" customHeight="1" x14ac:dyDescent="0.2">
      <c r="A330" s="11"/>
      <c r="B330" s="150">
        <f>COUNTA(Spieltag!K317:AA317)</f>
        <v>0</v>
      </c>
      <c r="C330" s="166">
        <f>Spieltag!A317</f>
        <v>12</v>
      </c>
      <c r="D330" s="21" t="str">
        <f>Spieltag!B317</f>
        <v>Jonas Nickisch</v>
      </c>
      <c r="E330" s="151" t="str">
        <f>Spieltag!C317</f>
        <v>Torwart</v>
      </c>
      <c r="F330" s="152" t="s">
        <v>176</v>
      </c>
      <c r="G330" s="153"/>
      <c r="H330" s="154">
        <f t="shared" ref="H330" si="1039">IF(G330="x",10,0)</f>
        <v>0</v>
      </c>
      <c r="I330" s="153"/>
      <c r="J330" s="154">
        <f t="shared" ref="J330" si="1040">IF((I330="x"),-10,0)</f>
        <v>0</v>
      </c>
      <c r="K330" s="153"/>
      <c r="L330" s="154">
        <f t="shared" ref="L330" si="1041">IF((K330="x"),-20,0)</f>
        <v>0</v>
      </c>
      <c r="M330" s="153"/>
      <c r="N330" s="154">
        <f t="shared" ref="N330" si="1042">IF((M330="x"),-30,0)</f>
        <v>0</v>
      </c>
      <c r="O330" s="155">
        <f t="shared" si="1037"/>
        <v>0</v>
      </c>
      <c r="P330" s="155">
        <f t="shared" si="1038"/>
        <v>10</v>
      </c>
      <c r="Q330" s="155">
        <f t="shared" ref="Q330:Q332" si="1043">IF(($W$5&lt;&gt;0),$W$5*-10,20)</f>
        <v>-40</v>
      </c>
      <c r="R330" s="153"/>
      <c r="S330" s="154">
        <f t="shared" ref="S330" si="1044">R330*20</f>
        <v>0</v>
      </c>
      <c r="T330" s="153"/>
      <c r="U330" s="154">
        <f t="shared" ref="U330" si="1045">T330*-15</f>
        <v>0</v>
      </c>
      <c r="V330" s="155">
        <f t="shared" ref="V330" si="1046">IF(AND(R330=2),10,IF(R330=3,30,IF(R330=4,50,IF(R330=5,70,0))))</f>
        <v>0</v>
      </c>
      <c r="W330" s="156">
        <f t="shared" ref="W330" si="1047">IF(G330="x",H330+J330+L330+N330+O330+P330+Q330+S330+U330+V330,0)</f>
        <v>0</v>
      </c>
    </row>
    <row r="331" spans="1:23" ht="10.5" hidden="1" customHeight="1" x14ac:dyDescent="0.2">
      <c r="A331" s="11"/>
      <c r="B331" s="150">
        <f>COUNTA(Spieltag!K318:AA318)</f>
        <v>0</v>
      </c>
      <c r="C331" s="166">
        <f>Spieltag!A318</f>
        <v>20</v>
      </c>
      <c r="D331" s="21" t="str">
        <f>Spieltag!B318</f>
        <v>Philipp Pentke</v>
      </c>
      <c r="E331" s="151" t="str">
        <f>Spieltag!C318</f>
        <v>Torwart</v>
      </c>
      <c r="F331" s="152" t="s">
        <v>176</v>
      </c>
      <c r="G331" s="153"/>
      <c r="H331" s="154">
        <f t="shared" ref="H331:H332" si="1048">IF(G331="x",10,0)</f>
        <v>0</v>
      </c>
      <c r="I331" s="153"/>
      <c r="J331" s="154">
        <f t="shared" ref="J331:J332" si="1049">IF((I331="x"),-10,0)</f>
        <v>0</v>
      </c>
      <c r="K331" s="153"/>
      <c r="L331" s="154">
        <f t="shared" ref="L331:L332" si="1050">IF((K331="x"),-20,0)</f>
        <v>0</v>
      </c>
      <c r="M331" s="153"/>
      <c r="N331" s="154">
        <f t="shared" ref="N331:N332" si="1051">IF((M331="x"),-30,0)</f>
        <v>0</v>
      </c>
      <c r="O331" s="155">
        <f t="shared" si="1037"/>
        <v>0</v>
      </c>
      <c r="P331" s="155">
        <f t="shared" si="1038"/>
        <v>10</v>
      </c>
      <c r="Q331" s="155">
        <f t="shared" si="1043"/>
        <v>-40</v>
      </c>
      <c r="R331" s="153"/>
      <c r="S331" s="154">
        <f t="shared" ref="S331:S332" si="1052">R331*20</f>
        <v>0</v>
      </c>
      <c r="T331" s="153"/>
      <c r="U331" s="154">
        <f t="shared" ref="U331:U332" si="1053">T331*-15</f>
        <v>0</v>
      </c>
      <c r="V331" s="155">
        <f t="shared" ref="V331:V332" si="1054">IF(AND(R331=2),10,IF(R331=3,30,IF(R331=4,50,IF(R331=5,70,0))))</f>
        <v>0</v>
      </c>
      <c r="W331" s="156">
        <f t="shared" ref="W331:W332" si="1055">IF(G331="x",H331+J331+L331+N331+O331+P331+Q331+S331+U331+V331,0)</f>
        <v>0</v>
      </c>
    </row>
    <row r="332" spans="1:23" ht="10.5" hidden="1" customHeight="1" x14ac:dyDescent="0.2">
      <c r="A332" s="11"/>
      <c r="B332" s="150">
        <f>COUNTA(Spieltag!K319:AA319)</f>
        <v>0</v>
      </c>
      <c r="C332" s="166">
        <f>Spieltag!A319</f>
        <v>44</v>
      </c>
      <c r="D332" s="21" t="str">
        <f>Spieltag!B319</f>
        <v>Matthias Köbbing</v>
      </c>
      <c r="E332" s="151" t="str">
        <f>Spieltag!C319</f>
        <v>Torwart</v>
      </c>
      <c r="F332" s="152" t="s">
        <v>176</v>
      </c>
      <c r="G332" s="153"/>
      <c r="H332" s="154">
        <f t="shared" si="1048"/>
        <v>0</v>
      </c>
      <c r="I332" s="153"/>
      <c r="J332" s="154">
        <f t="shared" si="1049"/>
        <v>0</v>
      </c>
      <c r="K332" s="153"/>
      <c r="L332" s="154">
        <f t="shared" si="1050"/>
        <v>0</v>
      </c>
      <c r="M332" s="153"/>
      <c r="N332" s="154">
        <f t="shared" si="1051"/>
        <v>0</v>
      </c>
      <c r="O332" s="155">
        <f t="shared" si="1037"/>
        <v>0</v>
      </c>
      <c r="P332" s="155">
        <f t="shared" si="1038"/>
        <v>10</v>
      </c>
      <c r="Q332" s="155">
        <f t="shared" si="1043"/>
        <v>-40</v>
      </c>
      <c r="R332" s="153"/>
      <c r="S332" s="154">
        <f t="shared" si="1052"/>
        <v>0</v>
      </c>
      <c r="T332" s="153"/>
      <c r="U332" s="154">
        <f t="shared" si="1053"/>
        <v>0</v>
      </c>
      <c r="V332" s="155">
        <f t="shared" si="1054"/>
        <v>0</v>
      </c>
      <c r="W332" s="156">
        <f t="shared" si="1055"/>
        <v>0</v>
      </c>
    </row>
    <row r="333" spans="1:23" ht="10.5" hidden="1" customHeight="1" x14ac:dyDescent="0.2">
      <c r="A333" s="11"/>
      <c r="B333" s="150">
        <f>COUNTA(Spieltag!K320:AA320)</f>
        <v>0</v>
      </c>
      <c r="C333" s="166">
        <f>Spieltag!A320</f>
        <v>2</v>
      </c>
      <c r="D333" s="21" t="str">
        <f>Spieltag!B320</f>
        <v>Benno Schmitz</v>
      </c>
      <c r="E333" s="151" t="str">
        <f>Spieltag!C320</f>
        <v>Abwehr</v>
      </c>
      <c r="F333" s="152" t="s">
        <v>176</v>
      </c>
      <c r="G333" s="153"/>
      <c r="H333" s="154">
        <f>IF(G333="x",10,0)</f>
        <v>0</v>
      </c>
      <c r="I333" s="153"/>
      <c r="J333" s="154">
        <f>IF((I333="x"),-10,0)</f>
        <v>0</v>
      </c>
      <c r="K333" s="153"/>
      <c r="L333" s="154">
        <f>IF((K333="x"),-20,0)</f>
        <v>0</v>
      </c>
      <c r="M333" s="153"/>
      <c r="N333" s="154">
        <f>IF((M333="x"),-30,0)</f>
        <v>0</v>
      </c>
      <c r="O333" s="155">
        <f t="shared" si="1037"/>
        <v>0</v>
      </c>
      <c r="P333" s="155">
        <f t="shared" si="1038"/>
        <v>10</v>
      </c>
      <c r="Q333" s="155">
        <f t="shared" ref="Q333:Q341" si="1056">IF(($W$5&lt;&gt;0),$W$5*-10,15)</f>
        <v>-40</v>
      </c>
      <c r="R333" s="153"/>
      <c r="S333" s="154">
        <f>R333*15</f>
        <v>0</v>
      </c>
      <c r="T333" s="153"/>
      <c r="U333" s="154">
        <f>T333*-15</f>
        <v>0</v>
      </c>
      <c r="V333" s="155">
        <f>IF(AND(R333=2),10,IF(R333=3,30,IF(R333=4,50,IF(R333=5,70,0))))</f>
        <v>0</v>
      </c>
      <c r="W333" s="156">
        <f>IF(G333="x",H333+J333+L333+N333+O333+P333+Q333+S333+U333+V333,0)</f>
        <v>0</v>
      </c>
    </row>
    <row r="334" spans="1:23" ht="10.5" hidden="1" customHeight="1" x14ac:dyDescent="0.2">
      <c r="A334" s="11"/>
      <c r="B334" s="150">
        <f>COUNTA(Spieltag!K321:AA321)</f>
        <v>0</v>
      </c>
      <c r="C334" s="166">
        <f>Spieltag!A321</f>
        <v>3</v>
      </c>
      <c r="D334" s="21" t="str">
        <f>Spieltag!B321</f>
        <v>Dominique Heintz</v>
      </c>
      <c r="E334" s="151" t="str">
        <f>Spieltag!C321</f>
        <v>Abwehr</v>
      </c>
      <c r="F334" s="152" t="s">
        <v>176</v>
      </c>
      <c r="G334" s="153"/>
      <c r="H334" s="154">
        <f t="shared" ref="H334:H339" si="1057">IF(G334="x",10,0)</f>
        <v>0</v>
      </c>
      <c r="I334" s="153"/>
      <c r="J334" s="154">
        <f t="shared" ref="J334:J339" si="1058">IF((I334="x"),-10,0)</f>
        <v>0</v>
      </c>
      <c r="K334" s="153"/>
      <c r="L334" s="154">
        <f t="shared" ref="L334:L339" si="1059">IF((K334="x"),-20,0)</f>
        <v>0</v>
      </c>
      <c r="M334" s="153"/>
      <c r="N334" s="154">
        <f t="shared" ref="N334:N339" si="1060">IF((M334="x"),-30,0)</f>
        <v>0</v>
      </c>
      <c r="O334" s="155">
        <f t="shared" si="1037"/>
        <v>0</v>
      </c>
      <c r="P334" s="155">
        <f t="shared" si="1038"/>
        <v>10</v>
      </c>
      <c r="Q334" s="155">
        <f t="shared" si="1056"/>
        <v>-40</v>
      </c>
      <c r="R334" s="153"/>
      <c r="S334" s="154">
        <f t="shared" ref="S334:S339" si="1061">R334*15</f>
        <v>0</v>
      </c>
      <c r="T334" s="153"/>
      <c r="U334" s="154">
        <f t="shared" ref="U334:U339" si="1062">T334*-15</f>
        <v>0</v>
      </c>
      <c r="V334" s="155">
        <f t="shared" ref="V334:V339" si="1063">IF(AND(R334=2),10,IF(R334=3,30,IF(R334=4,50,IF(R334=5,70,0))))</f>
        <v>0</v>
      </c>
      <c r="W334" s="156">
        <f t="shared" ref="W334:W339" si="1064">IF(G334="x",H334+J334+L334+N334+O334+P334+Q334+S334+U334+V334,0)</f>
        <v>0</v>
      </c>
    </row>
    <row r="335" spans="1:23" ht="10.5" hidden="1" customHeight="1" x14ac:dyDescent="0.2">
      <c r="A335" s="11"/>
      <c r="B335" s="150">
        <f>COUNTA(Spieltag!K322:AA322)</f>
        <v>0</v>
      </c>
      <c r="C335" s="166">
        <f>Spieltag!A322</f>
        <v>4</v>
      </c>
      <c r="D335" s="21" t="str">
        <f>Spieltag!B322</f>
        <v>Timo Hübers</v>
      </c>
      <c r="E335" s="151" t="str">
        <f>Spieltag!C322</f>
        <v>Abwehr</v>
      </c>
      <c r="F335" s="152" t="s">
        <v>176</v>
      </c>
      <c r="G335" s="153"/>
      <c r="H335" s="154">
        <f t="shared" si="1057"/>
        <v>0</v>
      </c>
      <c r="I335" s="153"/>
      <c r="J335" s="154">
        <f t="shared" si="1058"/>
        <v>0</v>
      </c>
      <c r="K335" s="153"/>
      <c r="L335" s="154">
        <f t="shared" si="1059"/>
        <v>0</v>
      </c>
      <c r="M335" s="153"/>
      <c r="N335" s="154">
        <f t="shared" si="1060"/>
        <v>0</v>
      </c>
      <c r="O335" s="155">
        <f t="shared" si="1037"/>
        <v>0</v>
      </c>
      <c r="P335" s="155">
        <f t="shared" si="1038"/>
        <v>10</v>
      </c>
      <c r="Q335" s="155">
        <f t="shared" si="1056"/>
        <v>-40</v>
      </c>
      <c r="R335" s="153"/>
      <c r="S335" s="154">
        <f t="shared" si="1061"/>
        <v>0</v>
      </c>
      <c r="T335" s="153"/>
      <c r="U335" s="154">
        <f t="shared" si="1062"/>
        <v>0</v>
      </c>
      <c r="V335" s="155">
        <f t="shared" si="1063"/>
        <v>0</v>
      </c>
      <c r="W335" s="156">
        <f t="shared" si="1064"/>
        <v>0</v>
      </c>
    </row>
    <row r="336" spans="1:23" ht="10.5" hidden="1" customHeight="1" x14ac:dyDescent="0.2">
      <c r="A336" s="11"/>
      <c r="B336" s="150">
        <f>COUNTA(Spieltag!K323:AA323)</f>
        <v>0</v>
      </c>
      <c r="C336" s="166">
        <f>Spieltag!A323</f>
        <v>15</v>
      </c>
      <c r="D336" s="21" t="str">
        <f>Spieltag!B323</f>
        <v>Luca Kilian</v>
      </c>
      <c r="E336" s="151" t="str">
        <f>Spieltag!C323</f>
        <v>Abwehr</v>
      </c>
      <c r="F336" s="152" t="s">
        <v>176</v>
      </c>
      <c r="G336" s="153"/>
      <c r="H336" s="154">
        <f t="shared" si="1057"/>
        <v>0</v>
      </c>
      <c r="I336" s="153"/>
      <c r="J336" s="154">
        <f t="shared" si="1058"/>
        <v>0</v>
      </c>
      <c r="K336" s="153"/>
      <c r="L336" s="154">
        <f t="shared" si="1059"/>
        <v>0</v>
      </c>
      <c r="M336" s="153"/>
      <c r="N336" s="154">
        <f t="shared" si="1060"/>
        <v>0</v>
      </c>
      <c r="O336" s="155">
        <f t="shared" si="1037"/>
        <v>0</v>
      </c>
      <c r="P336" s="155">
        <f t="shared" si="1038"/>
        <v>10</v>
      </c>
      <c r="Q336" s="155">
        <f t="shared" si="1056"/>
        <v>-40</v>
      </c>
      <c r="R336" s="153"/>
      <c r="S336" s="154">
        <f t="shared" si="1061"/>
        <v>0</v>
      </c>
      <c r="T336" s="153"/>
      <c r="U336" s="154">
        <f t="shared" si="1062"/>
        <v>0</v>
      </c>
      <c r="V336" s="155">
        <f t="shared" si="1063"/>
        <v>0</v>
      </c>
      <c r="W336" s="156">
        <f t="shared" si="1064"/>
        <v>0</v>
      </c>
    </row>
    <row r="337" spans="1:23" ht="10.5" hidden="1" customHeight="1" x14ac:dyDescent="0.2">
      <c r="A337" s="11"/>
      <c r="B337" s="150">
        <f>COUNTA(Spieltag!K324:AA324)</f>
        <v>0</v>
      </c>
      <c r="C337" s="166">
        <f>Spieltag!A324</f>
        <v>17</v>
      </c>
      <c r="D337" s="21" t="str">
        <f>Spieltag!B324</f>
        <v>Leart Paqarada</v>
      </c>
      <c r="E337" s="151" t="str">
        <f>Spieltag!C324</f>
        <v>Abwehr</v>
      </c>
      <c r="F337" s="152" t="s">
        <v>176</v>
      </c>
      <c r="G337" s="153"/>
      <c r="H337" s="154">
        <f t="shared" si="1057"/>
        <v>0</v>
      </c>
      <c r="I337" s="153"/>
      <c r="J337" s="154">
        <f t="shared" si="1058"/>
        <v>0</v>
      </c>
      <c r="K337" s="153"/>
      <c r="L337" s="154">
        <f t="shared" si="1059"/>
        <v>0</v>
      </c>
      <c r="M337" s="153"/>
      <c r="N337" s="154">
        <f t="shared" si="1060"/>
        <v>0</v>
      </c>
      <c r="O337" s="155">
        <f t="shared" si="1037"/>
        <v>0</v>
      </c>
      <c r="P337" s="155">
        <f t="shared" si="1038"/>
        <v>10</v>
      </c>
      <c r="Q337" s="155">
        <f t="shared" si="1056"/>
        <v>-40</v>
      </c>
      <c r="R337" s="153"/>
      <c r="S337" s="154">
        <f t="shared" si="1061"/>
        <v>0</v>
      </c>
      <c r="T337" s="153"/>
      <c r="U337" s="154">
        <f t="shared" si="1062"/>
        <v>0</v>
      </c>
      <c r="V337" s="155">
        <f t="shared" si="1063"/>
        <v>0</v>
      </c>
      <c r="W337" s="156">
        <f t="shared" si="1064"/>
        <v>0</v>
      </c>
    </row>
    <row r="338" spans="1:23" ht="10.5" hidden="1" customHeight="1" x14ac:dyDescent="0.2">
      <c r="A338" s="11"/>
      <c r="B338" s="150">
        <f>COUNTA(Spieltag!K325:AA325)</f>
        <v>0</v>
      </c>
      <c r="C338" s="166">
        <f>Spieltag!A325</f>
        <v>18</v>
      </c>
      <c r="D338" s="21" t="str">
        <f>Spieltag!B325</f>
        <v>Rasmus Carstensen (A)</v>
      </c>
      <c r="E338" s="151" t="str">
        <f>Spieltag!C325</f>
        <v>Abwehr</v>
      </c>
      <c r="F338" s="152" t="s">
        <v>176</v>
      </c>
      <c r="G338" s="153"/>
      <c r="H338" s="154">
        <f t="shared" si="1057"/>
        <v>0</v>
      </c>
      <c r="I338" s="153"/>
      <c r="J338" s="154">
        <f t="shared" si="1058"/>
        <v>0</v>
      </c>
      <c r="K338" s="153"/>
      <c r="L338" s="154">
        <f t="shared" si="1059"/>
        <v>0</v>
      </c>
      <c r="M338" s="153"/>
      <c r="N338" s="154">
        <f t="shared" si="1060"/>
        <v>0</v>
      </c>
      <c r="O338" s="155">
        <f t="shared" si="1037"/>
        <v>0</v>
      </c>
      <c r="P338" s="155">
        <f t="shared" si="1038"/>
        <v>10</v>
      </c>
      <c r="Q338" s="155">
        <f t="shared" si="1056"/>
        <v>-40</v>
      </c>
      <c r="R338" s="153"/>
      <c r="S338" s="154">
        <f t="shared" si="1061"/>
        <v>0</v>
      </c>
      <c r="T338" s="153"/>
      <c r="U338" s="154">
        <f t="shared" si="1062"/>
        <v>0</v>
      </c>
      <c r="V338" s="155">
        <f t="shared" si="1063"/>
        <v>0</v>
      </c>
      <c r="W338" s="156">
        <f t="shared" si="1064"/>
        <v>0</v>
      </c>
    </row>
    <row r="339" spans="1:23" ht="10.5" hidden="1" customHeight="1" x14ac:dyDescent="0.2">
      <c r="A339" s="11"/>
      <c r="B339" s="150">
        <f>COUNTA(Spieltag!K326:AA326)</f>
        <v>0</v>
      </c>
      <c r="C339" s="166">
        <f>Spieltag!A326</f>
        <v>24</v>
      </c>
      <c r="D339" s="21" t="str">
        <f>Spieltag!B326</f>
        <v>Jeff Chabot</v>
      </c>
      <c r="E339" s="151" t="str">
        <f>Spieltag!C326</f>
        <v>Abwehr</v>
      </c>
      <c r="F339" s="152" t="s">
        <v>176</v>
      </c>
      <c r="G339" s="153"/>
      <c r="H339" s="154">
        <f t="shared" si="1057"/>
        <v>0</v>
      </c>
      <c r="I339" s="153"/>
      <c r="J339" s="154">
        <f t="shared" si="1058"/>
        <v>0</v>
      </c>
      <c r="K339" s="153"/>
      <c r="L339" s="154">
        <f t="shared" si="1059"/>
        <v>0</v>
      </c>
      <c r="M339" s="153"/>
      <c r="N339" s="154">
        <f t="shared" si="1060"/>
        <v>0</v>
      </c>
      <c r="O339" s="155">
        <f t="shared" si="1037"/>
        <v>0</v>
      </c>
      <c r="P339" s="155">
        <f t="shared" si="1038"/>
        <v>10</v>
      </c>
      <c r="Q339" s="155">
        <f t="shared" si="1056"/>
        <v>-40</v>
      </c>
      <c r="R339" s="153"/>
      <c r="S339" s="154">
        <f t="shared" si="1061"/>
        <v>0</v>
      </c>
      <c r="T339" s="153"/>
      <c r="U339" s="154">
        <f t="shared" si="1062"/>
        <v>0</v>
      </c>
      <c r="V339" s="155">
        <f t="shared" si="1063"/>
        <v>0</v>
      </c>
      <c r="W339" s="156">
        <f t="shared" si="1064"/>
        <v>0</v>
      </c>
    </row>
    <row r="340" spans="1:23" ht="10.5" hidden="1" customHeight="1" x14ac:dyDescent="0.2">
      <c r="A340" s="11"/>
      <c r="B340" s="150">
        <f>COUNTA(Spieltag!K327:AA327)</f>
        <v>0</v>
      </c>
      <c r="C340" s="166">
        <f>Spieltag!A327</f>
        <v>35</v>
      </c>
      <c r="D340" s="21" t="str">
        <f>Spieltag!B327</f>
        <v>Max Finkgräfe</v>
      </c>
      <c r="E340" s="151" t="str">
        <f>Spieltag!C327</f>
        <v>Abwehr</v>
      </c>
      <c r="F340" s="152" t="s">
        <v>176</v>
      </c>
      <c r="G340" s="153"/>
      <c r="H340" s="154">
        <f t="shared" ref="H340:H341" si="1065">IF(G340="x",10,0)</f>
        <v>0</v>
      </c>
      <c r="I340" s="153"/>
      <c r="J340" s="154">
        <f t="shared" ref="J340:J341" si="1066">IF((I340="x"),-10,0)</f>
        <v>0</v>
      </c>
      <c r="K340" s="153"/>
      <c r="L340" s="154">
        <f t="shared" ref="L340:L341" si="1067">IF((K340="x"),-20,0)</f>
        <v>0</v>
      </c>
      <c r="M340" s="153"/>
      <c r="N340" s="154">
        <f t="shared" ref="N340:N341" si="1068">IF((M340="x"),-30,0)</f>
        <v>0</v>
      </c>
      <c r="O340" s="155">
        <f t="shared" si="1037"/>
        <v>0</v>
      </c>
      <c r="P340" s="155">
        <f t="shared" si="1038"/>
        <v>10</v>
      </c>
      <c r="Q340" s="155">
        <f t="shared" si="1056"/>
        <v>-40</v>
      </c>
      <c r="R340" s="153"/>
      <c r="S340" s="154">
        <f t="shared" ref="S340:S341" si="1069">R340*15</f>
        <v>0</v>
      </c>
      <c r="T340" s="153"/>
      <c r="U340" s="154">
        <f t="shared" ref="U340:U341" si="1070">T340*-15</f>
        <v>0</v>
      </c>
      <c r="V340" s="155">
        <f t="shared" ref="V340:V341" si="1071">IF(AND(R340=2),10,IF(R340=3,30,IF(R340=4,50,IF(R340=5,70,0))))</f>
        <v>0</v>
      </c>
      <c r="W340" s="156">
        <f t="shared" ref="W340:W341" si="1072">IF(G340="x",H340+J340+L340+N340+O340+P340+Q340+S340+U340+V340,0)</f>
        <v>0</v>
      </c>
    </row>
    <row r="341" spans="1:23" ht="10.5" hidden="1" customHeight="1" x14ac:dyDescent="0.2">
      <c r="A341" s="11"/>
      <c r="B341" s="150">
        <f>COUNTA(Spieltag!K328:AA328)</f>
        <v>0</v>
      </c>
      <c r="C341" s="166">
        <f>Spieltag!A328</f>
        <v>38</v>
      </c>
      <c r="D341" s="21" t="str">
        <f>Spieltag!B328</f>
        <v>Elias Bakatukanda</v>
      </c>
      <c r="E341" s="151" t="str">
        <f>Spieltag!C328</f>
        <v>Abwehr</v>
      </c>
      <c r="F341" s="152" t="s">
        <v>176</v>
      </c>
      <c r="G341" s="153"/>
      <c r="H341" s="154">
        <f t="shared" si="1065"/>
        <v>0</v>
      </c>
      <c r="I341" s="153"/>
      <c r="J341" s="154">
        <f t="shared" si="1066"/>
        <v>0</v>
      </c>
      <c r="K341" s="153"/>
      <c r="L341" s="154">
        <f t="shared" si="1067"/>
        <v>0</v>
      </c>
      <c r="M341" s="153"/>
      <c r="N341" s="154">
        <f t="shared" si="1068"/>
        <v>0</v>
      </c>
      <c r="O341" s="155">
        <f t="shared" si="1037"/>
        <v>0</v>
      </c>
      <c r="P341" s="155">
        <f t="shared" si="1038"/>
        <v>10</v>
      </c>
      <c r="Q341" s="155">
        <f t="shared" si="1056"/>
        <v>-40</v>
      </c>
      <c r="R341" s="153"/>
      <c r="S341" s="154">
        <f t="shared" si="1069"/>
        <v>0</v>
      </c>
      <c r="T341" s="153"/>
      <c r="U341" s="154">
        <f t="shared" si="1070"/>
        <v>0</v>
      </c>
      <c r="V341" s="155">
        <f t="shared" si="1071"/>
        <v>0</v>
      </c>
      <c r="W341" s="156">
        <f t="shared" si="1072"/>
        <v>0</v>
      </c>
    </row>
    <row r="342" spans="1:23" ht="10.5" hidden="1" customHeight="1" x14ac:dyDescent="0.2">
      <c r="A342" s="11"/>
      <c r="B342" s="150">
        <f>COUNTA(Spieltag!K329:AA329)</f>
        <v>0</v>
      </c>
      <c r="C342" s="166">
        <f>Spieltag!A329</f>
        <v>6</v>
      </c>
      <c r="D342" s="21" t="str">
        <f>Spieltag!B329</f>
        <v>Eric Martel</v>
      </c>
      <c r="E342" s="151" t="str">
        <f>Spieltag!C329</f>
        <v>Mittelfeld</v>
      </c>
      <c r="F342" s="152" t="s">
        <v>176</v>
      </c>
      <c r="G342" s="153"/>
      <c r="H342" s="154">
        <f>IF(G342="x",10,0)</f>
        <v>0</v>
      </c>
      <c r="I342" s="153"/>
      <c r="J342" s="154">
        <f>IF((I342="x"),-10,0)</f>
        <v>0</v>
      </c>
      <c r="K342" s="153"/>
      <c r="L342" s="154">
        <f>IF((K342="x"),-20,0)</f>
        <v>0</v>
      </c>
      <c r="M342" s="153"/>
      <c r="N342" s="154">
        <f>IF((M342="x"),-30,0)</f>
        <v>0</v>
      </c>
      <c r="O342" s="155">
        <f t="shared" ref="O342:O358" si="1073">IF(AND($V$5&gt;$W$5),20,IF($V$5=$W$5,10,0))</f>
        <v>0</v>
      </c>
      <c r="P342" s="155">
        <f t="shared" ref="P342:P358" si="1074">IF(($V$5&lt;&gt;0),$V$5*10,-5)</f>
        <v>10</v>
      </c>
      <c r="Q342" s="155">
        <f t="shared" ref="Q342:Q350" si="1075">IF(($W$5&lt;&gt;0),$W$5*-10,10)</f>
        <v>-40</v>
      </c>
      <c r="R342" s="153"/>
      <c r="S342" s="154">
        <f>R342*10</f>
        <v>0</v>
      </c>
      <c r="T342" s="153"/>
      <c r="U342" s="154">
        <f>T342*-15</f>
        <v>0</v>
      </c>
      <c r="V342" s="155">
        <f>IF(AND(R342=2),10,IF(R342=3,30,IF(R342=4,50,IF(R342=5,70,0))))</f>
        <v>0</v>
      </c>
      <c r="W342" s="156">
        <f>IF(G342="x",H342+J342+L342+N342+O342+P342+Q342+S342+U342+V342,0)</f>
        <v>0</v>
      </c>
    </row>
    <row r="343" spans="1:23" ht="10.5" hidden="1" customHeight="1" x14ac:dyDescent="0.2">
      <c r="A343" s="11"/>
      <c r="B343" s="150">
        <f>COUNTA(Spieltag!K330:AA330)</f>
        <v>0</v>
      </c>
      <c r="C343" s="166">
        <f>Spieltag!A330</f>
        <v>7</v>
      </c>
      <c r="D343" s="21" t="str">
        <f>Spieltag!B330</f>
        <v>Dejan Ljubicic (A)</v>
      </c>
      <c r="E343" s="151" t="str">
        <f>Spieltag!C330</f>
        <v>Mittelfeld</v>
      </c>
      <c r="F343" s="152" t="s">
        <v>176</v>
      </c>
      <c r="G343" s="153"/>
      <c r="H343" s="154">
        <f t="shared" ref="H343:H350" si="1076">IF(G343="x",10,0)</f>
        <v>0</v>
      </c>
      <c r="I343" s="153"/>
      <c r="J343" s="154">
        <f t="shared" ref="J343:J350" si="1077">IF((I343="x"),-10,0)</f>
        <v>0</v>
      </c>
      <c r="K343" s="153"/>
      <c r="L343" s="154">
        <f t="shared" ref="L343:L350" si="1078">IF((K343="x"),-20,0)</f>
        <v>0</v>
      </c>
      <c r="M343" s="153"/>
      <c r="N343" s="154">
        <f t="shared" ref="N343:N350" si="1079">IF((M343="x"),-30,0)</f>
        <v>0</v>
      </c>
      <c r="O343" s="155">
        <f t="shared" si="1073"/>
        <v>0</v>
      </c>
      <c r="P343" s="155">
        <f t="shared" si="1074"/>
        <v>10</v>
      </c>
      <c r="Q343" s="155">
        <f t="shared" si="1075"/>
        <v>-40</v>
      </c>
      <c r="R343" s="153"/>
      <c r="S343" s="154">
        <f t="shared" ref="S343:S350" si="1080">R343*10</f>
        <v>0</v>
      </c>
      <c r="T343" s="153"/>
      <c r="U343" s="154">
        <f t="shared" ref="U343:U350" si="1081">T343*-15</f>
        <v>0</v>
      </c>
      <c r="V343" s="155">
        <f t="shared" ref="V343:V350" si="1082">IF(AND(R343=2),10,IF(R343=3,30,IF(R343=4,50,IF(R343=5,70,0))))</f>
        <v>0</v>
      </c>
      <c r="W343" s="156">
        <f t="shared" ref="W343:W350" si="1083">IF(G343="x",H343+J343+L343+N343+O343+P343+Q343+S343+U343+V343,0)</f>
        <v>0</v>
      </c>
    </row>
    <row r="344" spans="1:23" ht="10.5" hidden="1" customHeight="1" x14ac:dyDescent="0.2">
      <c r="A344" s="11"/>
      <c r="B344" s="150">
        <f>COUNTA(Spieltag!K331:AA331)</f>
        <v>0</v>
      </c>
      <c r="C344" s="166">
        <f>Spieltag!A331</f>
        <v>8</v>
      </c>
      <c r="D344" s="21" t="str">
        <f>Spieltag!B331</f>
        <v>Denis Huseinbašić</v>
      </c>
      <c r="E344" s="151" t="str">
        <f>Spieltag!C331</f>
        <v>Mittelfeld</v>
      </c>
      <c r="F344" s="152" t="s">
        <v>176</v>
      </c>
      <c r="G344" s="153"/>
      <c r="H344" s="154">
        <f t="shared" si="1076"/>
        <v>0</v>
      </c>
      <c r="I344" s="153"/>
      <c r="J344" s="154">
        <f t="shared" si="1077"/>
        <v>0</v>
      </c>
      <c r="K344" s="153"/>
      <c r="L344" s="154">
        <f t="shared" si="1078"/>
        <v>0</v>
      </c>
      <c r="M344" s="153"/>
      <c r="N344" s="154">
        <f t="shared" si="1079"/>
        <v>0</v>
      </c>
      <c r="O344" s="155">
        <f t="shared" si="1073"/>
        <v>0</v>
      </c>
      <c r="P344" s="155">
        <f t="shared" si="1074"/>
        <v>10</v>
      </c>
      <c r="Q344" s="155">
        <f t="shared" si="1075"/>
        <v>-40</v>
      </c>
      <c r="R344" s="153"/>
      <c r="S344" s="154">
        <f t="shared" si="1080"/>
        <v>0</v>
      </c>
      <c r="T344" s="153"/>
      <c r="U344" s="154">
        <f t="shared" si="1081"/>
        <v>0</v>
      </c>
      <c r="V344" s="155">
        <f t="shared" si="1082"/>
        <v>0</v>
      </c>
      <c r="W344" s="156">
        <f t="shared" si="1083"/>
        <v>0</v>
      </c>
    </row>
    <row r="345" spans="1:23" ht="10.5" hidden="1" customHeight="1" x14ac:dyDescent="0.2">
      <c r="A345" s="11"/>
      <c r="B345" s="150">
        <f>COUNTA(Spieltag!K332:AA332)</f>
        <v>0</v>
      </c>
      <c r="C345" s="166">
        <f>Spieltag!A332</f>
        <v>11</v>
      </c>
      <c r="D345" s="21" t="str">
        <f>Spieltag!B332</f>
        <v>Florian Kainz (A)</v>
      </c>
      <c r="E345" s="151" t="str">
        <f>Spieltag!C332</f>
        <v>Mittelfeld</v>
      </c>
      <c r="F345" s="152" t="s">
        <v>176</v>
      </c>
      <c r="G345" s="153"/>
      <c r="H345" s="154">
        <f t="shared" si="1076"/>
        <v>0</v>
      </c>
      <c r="I345" s="153"/>
      <c r="J345" s="154">
        <f t="shared" si="1077"/>
        <v>0</v>
      </c>
      <c r="K345" s="153"/>
      <c r="L345" s="154">
        <f t="shared" si="1078"/>
        <v>0</v>
      </c>
      <c r="M345" s="153"/>
      <c r="N345" s="154">
        <f t="shared" si="1079"/>
        <v>0</v>
      </c>
      <c r="O345" s="155">
        <f t="shared" si="1073"/>
        <v>0</v>
      </c>
      <c r="P345" s="155">
        <f t="shared" si="1074"/>
        <v>10</v>
      </c>
      <c r="Q345" s="155">
        <f t="shared" si="1075"/>
        <v>-40</v>
      </c>
      <c r="R345" s="153"/>
      <c r="S345" s="154">
        <f t="shared" si="1080"/>
        <v>0</v>
      </c>
      <c r="T345" s="153"/>
      <c r="U345" s="154">
        <f t="shared" si="1081"/>
        <v>0</v>
      </c>
      <c r="V345" s="155">
        <f t="shared" si="1082"/>
        <v>0</v>
      </c>
      <c r="W345" s="156">
        <f t="shared" si="1083"/>
        <v>0</v>
      </c>
    </row>
    <row r="346" spans="1:23" ht="10.5" hidden="1" customHeight="1" x14ac:dyDescent="0.2">
      <c r="A346" s="11"/>
      <c r="B346" s="150">
        <f>COUNTA(Spieltag!K333:AA333)</f>
        <v>0</v>
      </c>
      <c r="C346" s="166">
        <f>Spieltag!A333</f>
        <v>22</v>
      </c>
      <c r="D346" s="21" t="str">
        <f>Spieltag!B333</f>
        <v>Jacob Christensen (A)</v>
      </c>
      <c r="E346" s="151" t="str">
        <f>Spieltag!C333</f>
        <v>Mittelfeld</v>
      </c>
      <c r="F346" s="152" t="s">
        <v>176</v>
      </c>
      <c r="G346" s="153"/>
      <c r="H346" s="154">
        <f t="shared" si="1076"/>
        <v>0</v>
      </c>
      <c r="I346" s="153"/>
      <c r="J346" s="154">
        <f t="shared" si="1077"/>
        <v>0</v>
      </c>
      <c r="K346" s="153"/>
      <c r="L346" s="154">
        <f t="shared" si="1078"/>
        <v>0</v>
      </c>
      <c r="M346" s="153"/>
      <c r="N346" s="154">
        <f t="shared" si="1079"/>
        <v>0</v>
      </c>
      <c r="O346" s="155">
        <f t="shared" si="1073"/>
        <v>0</v>
      </c>
      <c r="P346" s="155">
        <f t="shared" si="1074"/>
        <v>10</v>
      </c>
      <c r="Q346" s="155">
        <f t="shared" si="1075"/>
        <v>-40</v>
      </c>
      <c r="R346" s="153"/>
      <c r="S346" s="154">
        <f t="shared" si="1080"/>
        <v>0</v>
      </c>
      <c r="T346" s="153"/>
      <c r="U346" s="154">
        <f t="shared" si="1081"/>
        <v>0</v>
      </c>
      <c r="V346" s="155">
        <f t="shared" si="1082"/>
        <v>0</v>
      </c>
      <c r="W346" s="156">
        <f t="shared" si="1083"/>
        <v>0</v>
      </c>
    </row>
    <row r="347" spans="1:23" ht="10.5" hidden="1" customHeight="1" x14ac:dyDescent="0.2">
      <c r="A347" s="11"/>
      <c r="B347" s="150">
        <f>COUNTA(Spieltag!K334:AA334)</f>
        <v>0</v>
      </c>
      <c r="C347" s="166">
        <f>Spieltag!A334</f>
        <v>29</v>
      </c>
      <c r="D347" s="21" t="str">
        <f>Spieltag!B334</f>
        <v>Jan Thielmann</v>
      </c>
      <c r="E347" s="151" t="str">
        <f>Spieltag!C334</f>
        <v>Mittelfeld</v>
      </c>
      <c r="F347" s="152" t="s">
        <v>176</v>
      </c>
      <c r="G347" s="153"/>
      <c r="H347" s="154">
        <f t="shared" si="1076"/>
        <v>0</v>
      </c>
      <c r="I347" s="153"/>
      <c r="J347" s="154">
        <f t="shared" si="1077"/>
        <v>0</v>
      </c>
      <c r="K347" s="153"/>
      <c r="L347" s="154">
        <f t="shared" si="1078"/>
        <v>0</v>
      </c>
      <c r="M347" s="153"/>
      <c r="N347" s="154">
        <f t="shared" si="1079"/>
        <v>0</v>
      </c>
      <c r="O347" s="155">
        <f t="shared" si="1073"/>
        <v>0</v>
      </c>
      <c r="P347" s="155">
        <f t="shared" si="1074"/>
        <v>10</v>
      </c>
      <c r="Q347" s="155">
        <f t="shared" si="1075"/>
        <v>-40</v>
      </c>
      <c r="R347" s="153"/>
      <c r="S347" s="154">
        <f t="shared" si="1080"/>
        <v>0</v>
      </c>
      <c r="T347" s="153"/>
      <c r="U347" s="154">
        <f t="shared" si="1081"/>
        <v>0</v>
      </c>
      <c r="V347" s="155">
        <f t="shared" si="1082"/>
        <v>0</v>
      </c>
      <c r="W347" s="156">
        <f t="shared" si="1083"/>
        <v>0</v>
      </c>
    </row>
    <row r="348" spans="1:23" ht="10.5" hidden="1" customHeight="1" x14ac:dyDescent="0.2">
      <c r="A348" s="11"/>
      <c r="B348" s="150">
        <f>COUNTA(Spieltag!K335:AA335)</f>
        <v>0</v>
      </c>
      <c r="C348" s="166">
        <f>Spieltag!A335</f>
        <v>36</v>
      </c>
      <c r="D348" s="21" t="str">
        <f>Spieltag!B335</f>
        <v>Meiko Wäschenbach</v>
      </c>
      <c r="E348" s="151" t="str">
        <f>Spieltag!C335</f>
        <v>Mittelfeld</v>
      </c>
      <c r="F348" s="152" t="s">
        <v>176</v>
      </c>
      <c r="G348" s="153"/>
      <c r="H348" s="154">
        <f t="shared" ref="H348" si="1084">IF(G348="x",10,0)</f>
        <v>0</v>
      </c>
      <c r="I348" s="153"/>
      <c r="J348" s="154">
        <f t="shared" ref="J348" si="1085">IF((I348="x"),-10,0)</f>
        <v>0</v>
      </c>
      <c r="K348" s="153"/>
      <c r="L348" s="154">
        <f t="shared" ref="L348" si="1086">IF((K348="x"),-20,0)</f>
        <v>0</v>
      </c>
      <c r="M348" s="153"/>
      <c r="N348" s="154">
        <f t="shared" ref="N348" si="1087">IF((M348="x"),-30,0)</f>
        <v>0</v>
      </c>
      <c r="O348" s="155">
        <f t="shared" si="1073"/>
        <v>0</v>
      </c>
      <c r="P348" s="155">
        <f t="shared" si="1074"/>
        <v>10</v>
      </c>
      <c r="Q348" s="155">
        <f t="shared" si="1075"/>
        <v>-40</v>
      </c>
      <c r="R348" s="153"/>
      <c r="S348" s="154">
        <f t="shared" ref="S348" si="1088">R348*10</f>
        <v>0</v>
      </c>
      <c r="T348" s="153"/>
      <c r="U348" s="154">
        <f t="shared" ref="U348" si="1089">T348*-15</f>
        <v>0</v>
      </c>
      <c r="V348" s="155">
        <f t="shared" ref="V348" si="1090">IF(AND(R348=2),10,IF(R348=3,30,IF(R348=4,50,IF(R348=5,70,0))))</f>
        <v>0</v>
      </c>
      <c r="W348" s="156">
        <f t="shared" ref="W348" si="1091">IF(G348="x",H348+J348+L348+N348+O348+P348+Q348+S348+U348+V348,0)</f>
        <v>0</v>
      </c>
    </row>
    <row r="349" spans="1:23" ht="10.5" hidden="1" customHeight="1" x14ac:dyDescent="0.2">
      <c r="A349" s="11"/>
      <c r="B349" s="150">
        <f>COUNTA(Spieltag!K336:AA336)</f>
        <v>0</v>
      </c>
      <c r="C349" s="166">
        <f>Spieltag!A336</f>
        <v>37</v>
      </c>
      <c r="D349" s="21" t="str">
        <f>Spieltag!B336</f>
        <v>Linton Maina</v>
      </c>
      <c r="E349" s="151" t="str">
        <f>Spieltag!C336</f>
        <v>Mittelfeld</v>
      </c>
      <c r="F349" s="152" t="s">
        <v>176</v>
      </c>
      <c r="G349" s="153"/>
      <c r="H349" s="154">
        <f t="shared" si="1076"/>
        <v>0</v>
      </c>
      <c r="I349" s="153"/>
      <c r="J349" s="154">
        <f t="shared" si="1077"/>
        <v>0</v>
      </c>
      <c r="K349" s="153"/>
      <c r="L349" s="154">
        <f t="shared" si="1078"/>
        <v>0</v>
      </c>
      <c r="M349" s="153"/>
      <c r="N349" s="154">
        <f t="shared" si="1079"/>
        <v>0</v>
      </c>
      <c r="O349" s="155">
        <f t="shared" si="1073"/>
        <v>0</v>
      </c>
      <c r="P349" s="155">
        <f t="shared" si="1074"/>
        <v>10</v>
      </c>
      <c r="Q349" s="155">
        <f t="shared" si="1075"/>
        <v>-40</v>
      </c>
      <c r="R349" s="153"/>
      <c r="S349" s="154">
        <f t="shared" si="1080"/>
        <v>0</v>
      </c>
      <c r="T349" s="153"/>
      <c r="U349" s="154">
        <f t="shared" si="1081"/>
        <v>0</v>
      </c>
      <c r="V349" s="155">
        <f t="shared" si="1082"/>
        <v>0</v>
      </c>
      <c r="W349" s="156">
        <f t="shared" si="1083"/>
        <v>0</v>
      </c>
    </row>
    <row r="350" spans="1:23" ht="10.5" hidden="1" customHeight="1" x14ac:dyDescent="0.2">
      <c r="A350" s="11"/>
      <c r="B350" s="150">
        <f>COUNTA(Spieltag!K337:AA337)</f>
        <v>0</v>
      </c>
      <c r="C350" s="166">
        <f>Spieltag!A337</f>
        <v>40</v>
      </c>
      <c r="D350" s="21" t="str">
        <f>Spieltag!B337</f>
        <v>Faride Alidou</v>
      </c>
      <c r="E350" s="151" t="str">
        <f>Spieltag!C337</f>
        <v>Mittelfeld</v>
      </c>
      <c r="F350" s="152" t="s">
        <v>176</v>
      </c>
      <c r="G350" s="153"/>
      <c r="H350" s="154">
        <f t="shared" si="1076"/>
        <v>0</v>
      </c>
      <c r="I350" s="153"/>
      <c r="J350" s="154">
        <f t="shared" si="1077"/>
        <v>0</v>
      </c>
      <c r="K350" s="153"/>
      <c r="L350" s="154">
        <f t="shared" si="1078"/>
        <v>0</v>
      </c>
      <c r="M350" s="153"/>
      <c r="N350" s="154">
        <f t="shared" si="1079"/>
        <v>0</v>
      </c>
      <c r="O350" s="155">
        <f t="shared" si="1073"/>
        <v>0</v>
      </c>
      <c r="P350" s="155">
        <f t="shared" si="1074"/>
        <v>10</v>
      </c>
      <c r="Q350" s="155">
        <f t="shared" si="1075"/>
        <v>-40</v>
      </c>
      <c r="R350" s="153"/>
      <c r="S350" s="154">
        <f t="shared" si="1080"/>
        <v>0</v>
      </c>
      <c r="T350" s="153"/>
      <c r="U350" s="154">
        <f t="shared" si="1081"/>
        <v>0</v>
      </c>
      <c r="V350" s="155">
        <f t="shared" si="1082"/>
        <v>0</v>
      </c>
      <c r="W350" s="156">
        <f t="shared" si="1083"/>
        <v>0</v>
      </c>
    </row>
    <row r="351" spans="1:23" ht="10.5" hidden="1" customHeight="1" x14ac:dyDescent="0.2">
      <c r="A351" s="11"/>
      <c r="B351" s="150">
        <f>COUNTA(Spieltag!K338:AA338)</f>
        <v>0</v>
      </c>
      <c r="C351" s="166">
        <f>Spieltag!A338</f>
        <v>9</v>
      </c>
      <c r="D351" s="21" t="str">
        <f>Spieltag!B338</f>
        <v>Luca Waldschmidt</v>
      </c>
      <c r="E351" s="151" t="str">
        <f>Spieltag!C338</f>
        <v>Sturm</v>
      </c>
      <c r="F351" s="152" t="s">
        <v>176</v>
      </c>
      <c r="G351" s="153"/>
      <c r="H351" s="154">
        <f>IF(G351="x",10,0)</f>
        <v>0</v>
      </c>
      <c r="I351" s="153"/>
      <c r="J351" s="154">
        <f>IF((I351="x"),-10,0)</f>
        <v>0</v>
      </c>
      <c r="K351" s="153"/>
      <c r="L351" s="154">
        <f>IF((K351="x"),-20,0)</f>
        <v>0</v>
      </c>
      <c r="M351" s="153"/>
      <c r="N351" s="154">
        <f>IF((M351="x"),-30,0)</f>
        <v>0</v>
      </c>
      <c r="O351" s="155">
        <f t="shared" si="1073"/>
        <v>0</v>
      </c>
      <c r="P351" s="155">
        <f t="shared" si="1074"/>
        <v>10</v>
      </c>
      <c r="Q351" s="155">
        <f>IF(($W$5&lt;&gt;0),$W$5*-10,5)</f>
        <v>-40</v>
      </c>
      <c r="R351" s="153"/>
      <c r="S351" s="154">
        <f>R351*10</f>
        <v>0</v>
      </c>
      <c r="T351" s="153"/>
      <c r="U351" s="154">
        <f>T351*-15</f>
        <v>0</v>
      </c>
      <c r="V351" s="155">
        <f>IF(AND(R351=2),10,IF(R351=3,30,IF(R351=4,50,IF(R351=5,70,0))))</f>
        <v>0</v>
      </c>
      <c r="W351" s="156">
        <f>IF(G351="x",H351+J351+L351+N351+O351+P351+Q351+S351+U351+V351,0)</f>
        <v>0</v>
      </c>
    </row>
    <row r="352" spans="1:23" ht="10.5" hidden="1" customHeight="1" x14ac:dyDescent="0.2">
      <c r="A352" s="11"/>
      <c r="B352" s="150">
        <f>COUNTA(Spieltag!K339:AA339)</f>
        <v>0</v>
      </c>
      <c r="C352" s="166">
        <f>Spieltag!A339</f>
        <v>13</v>
      </c>
      <c r="D352" s="21" t="str">
        <f>Spieltag!B339</f>
        <v>Mark Uth</v>
      </c>
      <c r="E352" s="151" t="str">
        <f>Spieltag!C339</f>
        <v>Sturm</v>
      </c>
      <c r="F352" s="152" t="s">
        <v>176</v>
      </c>
      <c r="G352" s="153"/>
      <c r="H352" s="154">
        <f t="shared" ref="H352:H357" si="1092">IF(G352="x",10,0)</f>
        <v>0</v>
      </c>
      <c r="I352" s="153"/>
      <c r="J352" s="154">
        <f t="shared" ref="J352:J357" si="1093">IF((I352="x"),-10,0)</f>
        <v>0</v>
      </c>
      <c r="K352" s="153"/>
      <c r="L352" s="154">
        <f t="shared" ref="L352:L357" si="1094">IF((K352="x"),-20,0)</f>
        <v>0</v>
      </c>
      <c r="M352" s="153"/>
      <c r="N352" s="154">
        <f t="shared" ref="N352:N357" si="1095">IF((M352="x"),-30,0)</f>
        <v>0</v>
      </c>
      <c r="O352" s="155">
        <f t="shared" si="1073"/>
        <v>0</v>
      </c>
      <c r="P352" s="155">
        <f t="shared" si="1074"/>
        <v>10</v>
      </c>
      <c r="Q352" s="155">
        <f t="shared" ref="Q352:Q358" si="1096">IF(($W$5&lt;&gt;0),$W$5*-10,5)</f>
        <v>-40</v>
      </c>
      <c r="R352" s="153"/>
      <c r="S352" s="154">
        <f t="shared" ref="S352:S357" si="1097">R352*10</f>
        <v>0</v>
      </c>
      <c r="T352" s="153"/>
      <c r="U352" s="154">
        <f t="shared" ref="U352:U357" si="1098">T352*-15</f>
        <v>0</v>
      </c>
      <c r="V352" s="155">
        <f t="shared" ref="V352:V357" si="1099">IF(AND(R352=2),10,IF(R352=3,30,IF(R352=4,50,IF(R352=5,70,0))))</f>
        <v>0</v>
      </c>
      <c r="W352" s="156">
        <f t="shared" ref="W352:W357" si="1100">IF(G352="x",H352+J352+L352+N352+O352+P352+Q352+S352+U352+V352,0)</f>
        <v>0</v>
      </c>
    </row>
    <row r="353" spans="1:23" ht="10.5" hidden="1" customHeight="1" x14ac:dyDescent="0.2">
      <c r="A353" s="11"/>
      <c r="B353" s="150">
        <f>COUNTA(Spieltag!K340:AA340)</f>
        <v>0</v>
      </c>
      <c r="C353" s="166">
        <f>Spieltag!A340</f>
        <v>21</v>
      </c>
      <c r="D353" s="21" t="str">
        <f>Spieltag!B340</f>
        <v>Steffen Tigges</v>
      </c>
      <c r="E353" s="151" t="str">
        <f>Spieltag!C340</f>
        <v>Sturm</v>
      </c>
      <c r="F353" s="152" t="s">
        <v>176</v>
      </c>
      <c r="G353" s="153"/>
      <c r="H353" s="154">
        <f t="shared" si="1092"/>
        <v>0</v>
      </c>
      <c r="I353" s="153"/>
      <c r="J353" s="154">
        <f t="shared" si="1093"/>
        <v>0</v>
      </c>
      <c r="K353" s="153"/>
      <c r="L353" s="154">
        <f t="shared" si="1094"/>
        <v>0</v>
      </c>
      <c r="M353" s="153"/>
      <c r="N353" s="154">
        <f t="shared" si="1095"/>
        <v>0</v>
      </c>
      <c r="O353" s="155">
        <f t="shared" si="1073"/>
        <v>0</v>
      </c>
      <c r="P353" s="155">
        <f t="shared" si="1074"/>
        <v>10</v>
      </c>
      <c r="Q353" s="155">
        <f t="shared" si="1096"/>
        <v>-40</v>
      </c>
      <c r="R353" s="153"/>
      <c r="S353" s="154">
        <f t="shared" si="1097"/>
        <v>0</v>
      </c>
      <c r="T353" s="153"/>
      <c r="U353" s="154">
        <f t="shared" si="1098"/>
        <v>0</v>
      </c>
      <c r="V353" s="155">
        <f t="shared" si="1099"/>
        <v>0</v>
      </c>
      <c r="W353" s="156">
        <f t="shared" si="1100"/>
        <v>0</v>
      </c>
    </row>
    <row r="354" spans="1:23" ht="10.5" hidden="1" customHeight="1" x14ac:dyDescent="0.2">
      <c r="A354" s="11"/>
      <c r="B354" s="150">
        <f>COUNTA(Spieltag!K341:AA341)</f>
        <v>0</v>
      </c>
      <c r="C354" s="166">
        <f>Spieltag!A341</f>
        <v>23</v>
      </c>
      <c r="D354" s="21" t="str">
        <f>Spieltag!B341</f>
        <v>Sargis Adamyan (A)</v>
      </c>
      <c r="E354" s="151" t="str">
        <f>Spieltag!C341</f>
        <v>Sturm</v>
      </c>
      <c r="F354" s="152" t="s">
        <v>176</v>
      </c>
      <c r="G354" s="153"/>
      <c r="H354" s="154">
        <f t="shared" si="1092"/>
        <v>0</v>
      </c>
      <c r="I354" s="153"/>
      <c r="J354" s="154">
        <f t="shared" si="1093"/>
        <v>0</v>
      </c>
      <c r="K354" s="153"/>
      <c r="L354" s="154">
        <f t="shared" si="1094"/>
        <v>0</v>
      </c>
      <c r="M354" s="153"/>
      <c r="N354" s="154">
        <f t="shared" si="1095"/>
        <v>0</v>
      </c>
      <c r="O354" s="155">
        <f t="shared" si="1073"/>
        <v>0</v>
      </c>
      <c r="P354" s="155">
        <f t="shared" si="1074"/>
        <v>10</v>
      </c>
      <c r="Q354" s="155">
        <f t="shared" si="1096"/>
        <v>-40</v>
      </c>
      <c r="R354" s="153"/>
      <c r="S354" s="154">
        <f t="shared" si="1097"/>
        <v>0</v>
      </c>
      <c r="T354" s="153"/>
      <c r="U354" s="154">
        <f t="shared" si="1098"/>
        <v>0</v>
      </c>
      <c r="V354" s="155">
        <f t="shared" si="1099"/>
        <v>0</v>
      </c>
      <c r="W354" s="156">
        <f t="shared" si="1100"/>
        <v>0</v>
      </c>
    </row>
    <row r="355" spans="1:23" ht="10.5" hidden="1" customHeight="1" x14ac:dyDescent="0.2">
      <c r="A355" s="11"/>
      <c r="B355" s="150">
        <f>COUNTA(Spieltag!K342:AA342)</f>
        <v>0</v>
      </c>
      <c r="C355" s="166">
        <f>Spieltag!A342</f>
        <v>27</v>
      </c>
      <c r="D355" s="21" t="str">
        <f>Spieltag!B342</f>
        <v>Davie Selke</v>
      </c>
      <c r="E355" s="151" t="str">
        <f>Spieltag!C342</f>
        <v>Sturm</v>
      </c>
      <c r="F355" s="152" t="s">
        <v>176</v>
      </c>
      <c r="G355" s="153"/>
      <c r="H355" s="154">
        <f t="shared" si="1092"/>
        <v>0</v>
      </c>
      <c r="I355" s="153"/>
      <c r="J355" s="154">
        <f t="shared" si="1093"/>
        <v>0</v>
      </c>
      <c r="K355" s="153"/>
      <c r="L355" s="154">
        <f t="shared" si="1094"/>
        <v>0</v>
      </c>
      <c r="M355" s="153"/>
      <c r="N355" s="154">
        <f t="shared" si="1095"/>
        <v>0</v>
      </c>
      <c r="O355" s="155">
        <f t="shared" si="1073"/>
        <v>0</v>
      </c>
      <c r="P355" s="155">
        <f t="shared" si="1074"/>
        <v>10</v>
      </c>
      <c r="Q355" s="155">
        <f t="shared" si="1096"/>
        <v>-40</v>
      </c>
      <c r="R355" s="153"/>
      <c r="S355" s="154">
        <f t="shared" si="1097"/>
        <v>0</v>
      </c>
      <c r="T355" s="153"/>
      <c r="U355" s="154">
        <f t="shared" si="1098"/>
        <v>0</v>
      </c>
      <c r="V355" s="155">
        <f t="shared" si="1099"/>
        <v>0</v>
      </c>
      <c r="W355" s="156">
        <f t="shared" si="1100"/>
        <v>0</v>
      </c>
    </row>
    <row r="356" spans="1:23" ht="10.5" hidden="1" customHeight="1" x14ac:dyDescent="0.2">
      <c r="A356" s="11"/>
      <c r="B356" s="150">
        <f>COUNTA(Spieltag!K343:AA343)</f>
        <v>0</v>
      </c>
      <c r="C356" s="166">
        <f>Spieltag!A343</f>
        <v>33</v>
      </c>
      <c r="D356" s="21" t="str">
        <f>Spieltag!B343</f>
        <v>Florian Dietz</v>
      </c>
      <c r="E356" s="151" t="str">
        <f>Spieltag!C343</f>
        <v>Sturm</v>
      </c>
      <c r="F356" s="152" t="s">
        <v>176</v>
      </c>
      <c r="G356" s="153"/>
      <c r="H356" s="154">
        <f t="shared" si="1092"/>
        <v>0</v>
      </c>
      <c r="I356" s="153"/>
      <c r="J356" s="154">
        <f t="shared" si="1093"/>
        <v>0</v>
      </c>
      <c r="K356" s="153"/>
      <c r="L356" s="154">
        <f t="shared" si="1094"/>
        <v>0</v>
      </c>
      <c r="M356" s="153"/>
      <c r="N356" s="154">
        <f t="shared" si="1095"/>
        <v>0</v>
      </c>
      <c r="O356" s="155">
        <f t="shared" si="1073"/>
        <v>0</v>
      </c>
      <c r="P356" s="155">
        <f t="shared" si="1074"/>
        <v>10</v>
      </c>
      <c r="Q356" s="155">
        <f t="shared" si="1096"/>
        <v>-40</v>
      </c>
      <c r="R356" s="153"/>
      <c r="S356" s="154">
        <f t="shared" si="1097"/>
        <v>0</v>
      </c>
      <c r="T356" s="153"/>
      <c r="U356" s="154">
        <f t="shared" si="1098"/>
        <v>0</v>
      </c>
      <c r="V356" s="155">
        <f t="shared" si="1099"/>
        <v>0</v>
      </c>
      <c r="W356" s="156">
        <f t="shared" si="1100"/>
        <v>0</v>
      </c>
    </row>
    <row r="357" spans="1:23" ht="10.5" hidden="1" customHeight="1" x14ac:dyDescent="0.2">
      <c r="A357" s="11"/>
      <c r="B357" s="150">
        <f>COUNTA(Spieltag!K344:AA344)</f>
        <v>0</v>
      </c>
      <c r="C357" s="166">
        <f>Spieltag!A344</f>
        <v>42</v>
      </c>
      <c r="D357" s="21" t="str">
        <f>Spieltag!B344</f>
        <v>Damian Downs</v>
      </c>
      <c r="E357" s="151" t="str">
        <f>Spieltag!C344</f>
        <v>Sturm</v>
      </c>
      <c r="F357" s="152" t="s">
        <v>176</v>
      </c>
      <c r="G357" s="153"/>
      <c r="H357" s="154">
        <f t="shared" si="1092"/>
        <v>0</v>
      </c>
      <c r="I357" s="153"/>
      <c r="J357" s="154">
        <f t="shared" si="1093"/>
        <v>0</v>
      </c>
      <c r="K357" s="153"/>
      <c r="L357" s="154">
        <f t="shared" si="1094"/>
        <v>0</v>
      </c>
      <c r="M357" s="153"/>
      <c r="N357" s="154">
        <f t="shared" si="1095"/>
        <v>0</v>
      </c>
      <c r="O357" s="155">
        <f t="shared" si="1073"/>
        <v>0</v>
      </c>
      <c r="P357" s="155">
        <f t="shared" si="1074"/>
        <v>10</v>
      </c>
      <c r="Q357" s="155">
        <f t="shared" si="1096"/>
        <v>-40</v>
      </c>
      <c r="R357" s="153"/>
      <c r="S357" s="154">
        <f t="shared" si="1097"/>
        <v>0</v>
      </c>
      <c r="T357" s="153"/>
      <c r="U357" s="154">
        <f t="shared" si="1098"/>
        <v>0</v>
      </c>
      <c r="V357" s="155">
        <f t="shared" si="1099"/>
        <v>0</v>
      </c>
      <c r="W357" s="156">
        <f t="shared" si="1100"/>
        <v>0</v>
      </c>
    </row>
    <row r="358" spans="1:23" ht="10.5" hidden="1" customHeight="1" x14ac:dyDescent="0.2">
      <c r="A358" s="11"/>
      <c r="B358" s="150">
        <f>COUNTA(Spieltag!K345:AA345)</f>
        <v>0</v>
      </c>
      <c r="C358" s="166">
        <f>Spieltag!A345</f>
        <v>45</v>
      </c>
      <c r="D358" s="21" t="str">
        <f>Spieltag!B345</f>
        <v>Justin Diehl</v>
      </c>
      <c r="E358" s="151" t="str">
        <f>Spieltag!C345</f>
        <v>Sturm</v>
      </c>
      <c r="F358" s="152" t="s">
        <v>176</v>
      </c>
      <c r="G358" s="153"/>
      <c r="H358" s="154">
        <f t="shared" ref="H358" si="1101">IF(G358="x",10,0)</f>
        <v>0</v>
      </c>
      <c r="I358" s="153"/>
      <c r="J358" s="154">
        <f t="shared" ref="J358" si="1102">IF((I358="x"),-10,0)</f>
        <v>0</v>
      </c>
      <c r="K358" s="153"/>
      <c r="L358" s="154">
        <f t="shared" ref="L358" si="1103">IF((K358="x"),-20,0)</f>
        <v>0</v>
      </c>
      <c r="M358" s="153"/>
      <c r="N358" s="154">
        <f t="shared" ref="N358" si="1104">IF((M358="x"),-30,0)</f>
        <v>0</v>
      </c>
      <c r="O358" s="155">
        <f t="shared" si="1073"/>
        <v>0</v>
      </c>
      <c r="P358" s="155">
        <f t="shared" si="1074"/>
        <v>10</v>
      </c>
      <c r="Q358" s="155">
        <f t="shared" si="1096"/>
        <v>-40</v>
      </c>
      <c r="R358" s="153"/>
      <c r="S358" s="154">
        <f t="shared" ref="S358" si="1105">R358*10</f>
        <v>0</v>
      </c>
      <c r="T358" s="153"/>
      <c r="U358" s="154">
        <f t="shared" ref="U358" si="1106">T358*-15</f>
        <v>0</v>
      </c>
      <c r="V358" s="155">
        <f t="shared" ref="V358" si="1107">IF(AND(R358=2),10,IF(R358=3,30,IF(R358=4,50,IF(R358=5,70,0))))</f>
        <v>0</v>
      </c>
      <c r="W358" s="156">
        <f t="shared" ref="W358" si="1108">IF(G358="x",H358+J358+L358+N358+O358+P358+Q358+S358+U358+V358,0)</f>
        <v>0</v>
      </c>
    </row>
    <row r="359" spans="1:23" s="144" customFormat="1" ht="17.25" thickBot="1" x14ac:dyDescent="0.25">
      <c r="A359" s="142"/>
      <c r="B359" s="143">
        <f>SUM(B360:B385)</f>
        <v>2</v>
      </c>
      <c r="C359" s="158"/>
      <c r="D359" s="221" t="s">
        <v>119</v>
      </c>
      <c r="E359" s="221"/>
      <c r="F359" s="221"/>
      <c r="G359" s="221"/>
      <c r="H359" s="221"/>
      <c r="I359" s="221"/>
      <c r="J359" s="221"/>
      <c r="K359" s="221"/>
      <c r="L359" s="221"/>
      <c r="M359" s="221"/>
      <c r="N359" s="221"/>
      <c r="O359" s="221"/>
      <c r="P359" s="221"/>
      <c r="Q359" s="221"/>
      <c r="R359" s="221"/>
      <c r="S359" s="221"/>
      <c r="T359" s="221"/>
      <c r="U359" s="221"/>
      <c r="V359" s="221"/>
      <c r="W359" s="222"/>
    </row>
    <row r="360" spans="1:23" ht="10.5" customHeight="1" x14ac:dyDescent="0.2">
      <c r="A360" s="11"/>
      <c r="B360" s="150">
        <f>COUNTA(Spieltag!K347:AA347)</f>
        <v>1</v>
      </c>
      <c r="C360" s="166">
        <f>Spieltag!A347</f>
        <v>1</v>
      </c>
      <c r="D360" s="21" t="str">
        <f>Spieltag!B347</f>
        <v>Oliver Baumann</v>
      </c>
      <c r="E360" s="151" t="str">
        <f>Spieltag!C347</f>
        <v>Torwart</v>
      </c>
      <c r="F360" s="152" t="s">
        <v>77</v>
      </c>
      <c r="G360" s="153" t="s">
        <v>676</v>
      </c>
      <c r="H360" s="154">
        <f t="shared" ref="H360" si="1109">IF(G360="x",10,0)</f>
        <v>10</v>
      </c>
      <c r="I360" s="153"/>
      <c r="J360" s="154">
        <f t="shared" ref="J360" si="1110">IF((I360="x"),-10,0)</f>
        <v>0</v>
      </c>
      <c r="K360" s="153"/>
      <c r="L360" s="154">
        <f t="shared" ref="L360" si="1111">IF((K360="x"),-20,0)</f>
        <v>0</v>
      </c>
      <c r="M360" s="153"/>
      <c r="N360" s="154">
        <f t="shared" ref="N360" si="1112">IF((M360="x"),-30,0)</f>
        <v>0</v>
      </c>
      <c r="O360" s="155">
        <f t="shared" ref="O360:O385" si="1113">IF(AND($V$3&gt;$W$3),20,IF($V$3=$W$3,10,0))</f>
        <v>20</v>
      </c>
      <c r="P360" s="155">
        <f t="shared" ref="P360:P385" si="1114">IF(($V$3&lt;&gt;0),$V$3*10,-5)</f>
        <v>40</v>
      </c>
      <c r="Q360" s="155">
        <f>IF(($W$3&lt;&gt;0),$W$3*-10,20)</f>
        <v>-20</v>
      </c>
      <c r="R360" s="153"/>
      <c r="S360" s="154">
        <f>R360*20</f>
        <v>0</v>
      </c>
      <c r="T360" s="153"/>
      <c r="U360" s="154">
        <f t="shared" ref="U360" si="1115">T360*-15</f>
        <v>0</v>
      </c>
      <c r="V360" s="155">
        <f t="shared" ref="V360" si="1116">IF(AND(R360=2),10,IF(R360=3,30,IF(R360=4,50,IF(R360=5,70,0))))</f>
        <v>0</v>
      </c>
      <c r="W360" s="156">
        <f t="shared" ref="W360" si="1117">IF(G360="x",H360+J360+L360+N360+O360+P360+Q360+S360+U360+V360,0)</f>
        <v>50</v>
      </c>
    </row>
    <row r="361" spans="1:23" ht="10.5" hidden="1" customHeight="1" x14ac:dyDescent="0.2">
      <c r="A361" s="11"/>
      <c r="B361" s="150">
        <f>COUNTA(Spieltag!K348:AA348)</f>
        <v>0</v>
      </c>
      <c r="C361" s="166">
        <f>Spieltag!A348</f>
        <v>36</v>
      </c>
      <c r="D361" s="21" t="str">
        <f>Spieltag!B348</f>
        <v>Nahuell Noll</v>
      </c>
      <c r="E361" s="151" t="str">
        <f>Spieltag!C348</f>
        <v>Torwart</v>
      </c>
      <c r="F361" s="152" t="s">
        <v>77</v>
      </c>
      <c r="G361" s="153"/>
      <c r="H361" s="154">
        <f t="shared" ref="H361:H362" si="1118">IF(G361="x",10,0)</f>
        <v>0</v>
      </c>
      <c r="I361" s="153"/>
      <c r="J361" s="154">
        <f t="shared" ref="J361:J362" si="1119">IF((I361="x"),-10,0)</f>
        <v>0</v>
      </c>
      <c r="K361" s="153"/>
      <c r="L361" s="154">
        <f t="shared" ref="L361:L362" si="1120">IF((K361="x"),-20,0)</f>
        <v>0</v>
      </c>
      <c r="M361" s="153"/>
      <c r="N361" s="154">
        <f t="shared" ref="N361:N362" si="1121">IF((M361="x"),-30,0)</f>
        <v>0</v>
      </c>
      <c r="O361" s="155">
        <f t="shared" si="1113"/>
        <v>20</v>
      </c>
      <c r="P361" s="155">
        <f t="shared" si="1114"/>
        <v>40</v>
      </c>
      <c r="Q361" s="155">
        <f t="shared" ref="Q361:Q362" si="1122">IF(($W$3&lt;&gt;0),$W$3*-10,20)</f>
        <v>-20</v>
      </c>
      <c r="R361" s="153"/>
      <c r="S361" s="154">
        <f t="shared" ref="S361:S362" si="1123">R361*20</f>
        <v>0</v>
      </c>
      <c r="T361" s="153"/>
      <c r="U361" s="154">
        <f t="shared" ref="U361:U362" si="1124">T361*-15</f>
        <v>0</v>
      </c>
      <c r="V361" s="155">
        <f t="shared" ref="V361:V362" si="1125">IF(AND(R361=2),10,IF(R361=3,30,IF(R361=4,50,IF(R361=5,70,0))))</f>
        <v>0</v>
      </c>
      <c r="W361" s="156">
        <f t="shared" ref="W361:W362" si="1126">IF(G361="x",H361+J361+L361+N361+O361+P361+Q361+S361+U361+V361,0)</f>
        <v>0</v>
      </c>
    </row>
    <row r="362" spans="1:23" ht="10.5" hidden="1" customHeight="1" x14ac:dyDescent="0.2">
      <c r="A362" s="11"/>
      <c r="B362" s="150">
        <f>COUNTA(Spieltag!K349:AA349)</f>
        <v>0</v>
      </c>
      <c r="C362" s="166">
        <f>Spieltag!A349</f>
        <v>37</v>
      </c>
      <c r="D362" s="21" t="str">
        <f>Spieltag!B349</f>
        <v>Luca Philipp</v>
      </c>
      <c r="E362" s="151" t="str">
        <f>Spieltag!C349</f>
        <v>Torwart</v>
      </c>
      <c r="F362" s="152" t="s">
        <v>77</v>
      </c>
      <c r="G362" s="153"/>
      <c r="H362" s="154">
        <f t="shared" si="1118"/>
        <v>0</v>
      </c>
      <c r="I362" s="153"/>
      <c r="J362" s="154">
        <f t="shared" si="1119"/>
        <v>0</v>
      </c>
      <c r="K362" s="153"/>
      <c r="L362" s="154">
        <f t="shared" si="1120"/>
        <v>0</v>
      </c>
      <c r="M362" s="153"/>
      <c r="N362" s="154">
        <f t="shared" si="1121"/>
        <v>0</v>
      </c>
      <c r="O362" s="155">
        <f t="shared" si="1113"/>
        <v>20</v>
      </c>
      <c r="P362" s="155">
        <f t="shared" si="1114"/>
        <v>40</v>
      </c>
      <c r="Q362" s="155">
        <f t="shared" si="1122"/>
        <v>-20</v>
      </c>
      <c r="R362" s="153"/>
      <c r="S362" s="154">
        <f t="shared" si="1123"/>
        <v>0</v>
      </c>
      <c r="T362" s="153"/>
      <c r="U362" s="154">
        <f t="shared" si="1124"/>
        <v>0</v>
      </c>
      <c r="V362" s="155">
        <f t="shared" si="1125"/>
        <v>0</v>
      </c>
      <c r="W362" s="156">
        <f t="shared" si="1126"/>
        <v>0</v>
      </c>
    </row>
    <row r="363" spans="1:23" ht="10.5" hidden="1" customHeight="1" x14ac:dyDescent="0.2">
      <c r="A363" s="11"/>
      <c r="B363" s="150">
        <f>COUNTA(Spieltag!K350:AA350)</f>
        <v>0</v>
      </c>
      <c r="C363" s="166">
        <f>Spieltag!A350</f>
        <v>3</v>
      </c>
      <c r="D363" s="21" t="str">
        <f>Spieltag!B350</f>
        <v>Pavel Kaderábek (A)</v>
      </c>
      <c r="E363" s="151" t="str">
        <f>Spieltag!C350</f>
        <v>Abwehr</v>
      </c>
      <c r="F363" s="152" t="s">
        <v>77</v>
      </c>
      <c r="G363" s="153"/>
      <c r="H363" s="154">
        <f t="shared" ref="H363" si="1127">IF(G363="x",10,0)</f>
        <v>0</v>
      </c>
      <c r="I363" s="153"/>
      <c r="J363" s="154">
        <f t="shared" ref="J363" si="1128">IF((I363="x"),-10,0)</f>
        <v>0</v>
      </c>
      <c r="K363" s="153"/>
      <c r="L363" s="154">
        <f t="shared" ref="L363" si="1129">IF((K363="x"),-20,0)</f>
        <v>0</v>
      </c>
      <c r="M363" s="153"/>
      <c r="N363" s="154">
        <f t="shared" ref="N363" si="1130">IF((M363="x"),-30,0)</f>
        <v>0</v>
      </c>
      <c r="O363" s="155">
        <f t="shared" si="1113"/>
        <v>20</v>
      </c>
      <c r="P363" s="155">
        <f t="shared" si="1114"/>
        <v>40</v>
      </c>
      <c r="Q363" s="155">
        <f t="shared" ref="Q363:Q369" si="1131">IF(($W$3&lt;&gt;0),$W$3*-10,15)</f>
        <v>-20</v>
      </c>
      <c r="R363" s="153"/>
      <c r="S363" s="154">
        <f t="shared" ref="S363" si="1132">R363*15</f>
        <v>0</v>
      </c>
      <c r="T363" s="153"/>
      <c r="U363" s="154">
        <f t="shared" ref="U363" si="1133">T363*-15</f>
        <v>0</v>
      </c>
      <c r="V363" s="155">
        <f t="shared" ref="V363" si="1134">IF(AND(R363=2),10,IF(R363=3,30,IF(R363=4,50,IF(R363=5,70,0))))</f>
        <v>0</v>
      </c>
      <c r="W363" s="156">
        <f t="shared" ref="W363" si="1135">IF(G363="x",H363+J363+L363+N363+O363+P363+Q363+S363+U363+V363,0)</f>
        <v>0</v>
      </c>
    </row>
    <row r="364" spans="1:23" ht="10.5" hidden="1" customHeight="1" x14ac:dyDescent="0.2">
      <c r="A364" s="11"/>
      <c r="B364" s="150">
        <f>COUNTA(Spieltag!K351:AA351)</f>
        <v>0</v>
      </c>
      <c r="C364" s="166">
        <f>Spieltag!A351</f>
        <v>5</v>
      </c>
      <c r="D364" s="21" t="str">
        <f>Spieltag!B351</f>
        <v>Ozan Kabak (A)</v>
      </c>
      <c r="E364" s="151" t="str">
        <f>Spieltag!C351</f>
        <v>Abwehr</v>
      </c>
      <c r="F364" s="152" t="s">
        <v>77</v>
      </c>
      <c r="G364" s="153"/>
      <c r="H364" s="154">
        <f t="shared" ref="H364:H369" si="1136">IF(G364="x",10,0)</f>
        <v>0</v>
      </c>
      <c r="I364" s="153"/>
      <c r="J364" s="154">
        <f t="shared" ref="J364:J369" si="1137">IF((I364="x"),-10,0)</f>
        <v>0</v>
      </c>
      <c r="K364" s="153"/>
      <c r="L364" s="154">
        <f t="shared" ref="L364:L369" si="1138">IF((K364="x"),-20,0)</f>
        <v>0</v>
      </c>
      <c r="M364" s="153"/>
      <c r="N364" s="154">
        <f t="shared" ref="N364:N369" si="1139">IF((M364="x"),-30,0)</f>
        <v>0</v>
      </c>
      <c r="O364" s="155">
        <f t="shared" si="1113"/>
        <v>20</v>
      </c>
      <c r="P364" s="155">
        <f t="shared" si="1114"/>
        <v>40</v>
      </c>
      <c r="Q364" s="155">
        <f t="shared" si="1131"/>
        <v>-20</v>
      </c>
      <c r="R364" s="153"/>
      <c r="S364" s="154">
        <f t="shared" ref="S364:S369" si="1140">R364*15</f>
        <v>0</v>
      </c>
      <c r="T364" s="153"/>
      <c r="U364" s="154">
        <f t="shared" ref="U364:U369" si="1141">T364*-15</f>
        <v>0</v>
      </c>
      <c r="V364" s="155">
        <f t="shared" ref="V364:V369" si="1142">IF(AND(R364=2),10,IF(R364=3,30,IF(R364=4,50,IF(R364=5,70,0))))</f>
        <v>0</v>
      </c>
      <c r="W364" s="156">
        <f t="shared" ref="W364:W369" si="1143">IF(G364="x",H364+J364+L364+N364+O364+P364+Q364+S364+U364+V364,0)</f>
        <v>0</v>
      </c>
    </row>
    <row r="365" spans="1:23" ht="10.5" hidden="1" customHeight="1" x14ac:dyDescent="0.2">
      <c r="A365" s="11"/>
      <c r="B365" s="150">
        <f>COUNTA(Spieltag!K352:AA352)</f>
        <v>0</v>
      </c>
      <c r="C365" s="166">
        <f>Spieltag!A352</f>
        <v>15</v>
      </c>
      <c r="D365" s="21" t="str">
        <f>Spieltag!B352</f>
        <v>Kasim Adams (A)</v>
      </c>
      <c r="E365" s="151" t="str">
        <f>Spieltag!C352</f>
        <v>Abwehr</v>
      </c>
      <c r="F365" s="152" t="s">
        <v>77</v>
      </c>
      <c r="G365" s="153"/>
      <c r="H365" s="154">
        <f t="shared" si="1136"/>
        <v>0</v>
      </c>
      <c r="I365" s="153"/>
      <c r="J365" s="154">
        <f t="shared" si="1137"/>
        <v>0</v>
      </c>
      <c r="K365" s="153"/>
      <c r="L365" s="154">
        <f t="shared" si="1138"/>
        <v>0</v>
      </c>
      <c r="M365" s="153"/>
      <c r="N365" s="154">
        <f t="shared" si="1139"/>
        <v>0</v>
      </c>
      <c r="O365" s="155">
        <f t="shared" si="1113"/>
        <v>20</v>
      </c>
      <c r="P365" s="155">
        <f t="shared" si="1114"/>
        <v>40</v>
      </c>
      <c r="Q365" s="155">
        <f t="shared" si="1131"/>
        <v>-20</v>
      </c>
      <c r="R365" s="153"/>
      <c r="S365" s="154">
        <f t="shared" si="1140"/>
        <v>0</v>
      </c>
      <c r="T365" s="153"/>
      <c r="U365" s="154">
        <f t="shared" si="1141"/>
        <v>0</v>
      </c>
      <c r="V365" s="155">
        <f t="shared" si="1142"/>
        <v>0</v>
      </c>
      <c r="W365" s="156">
        <f t="shared" si="1143"/>
        <v>0</v>
      </c>
    </row>
    <row r="366" spans="1:23" ht="10.5" hidden="1" customHeight="1" x14ac:dyDescent="0.2">
      <c r="A366" s="11"/>
      <c r="B366" s="150">
        <f>COUNTA(Spieltag!K353:AA353)</f>
        <v>0</v>
      </c>
      <c r="C366" s="166">
        <f>Spieltag!A353</f>
        <v>19</v>
      </c>
      <c r="D366" s="21" t="str">
        <f>Spieltag!B353</f>
        <v>David Jurasek (A)</v>
      </c>
      <c r="E366" s="151" t="str">
        <f>Spieltag!C353</f>
        <v>Abwehr</v>
      </c>
      <c r="F366" s="152" t="s">
        <v>77</v>
      </c>
      <c r="G366" s="153"/>
      <c r="H366" s="154">
        <f t="shared" ref="H366" si="1144">IF(G366="x",10,0)</f>
        <v>0</v>
      </c>
      <c r="I366" s="153"/>
      <c r="J366" s="154">
        <f t="shared" ref="J366" si="1145">IF((I366="x"),-10,0)</f>
        <v>0</v>
      </c>
      <c r="K366" s="153"/>
      <c r="L366" s="154">
        <f t="shared" ref="L366" si="1146">IF((K366="x"),-20,0)</f>
        <v>0</v>
      </c>
      <c r="M366" s="153"/>
      <c r="N366" s="154">
        <f t="shared" ref="N366" si="1147">IF((M366="x"),-30,0)</f>
        <v>0</v>
      </c>
      <c r="O366" s="155">
        <f t="shared" si="1113"/>
        <v>20</v>
      </c>
      <c r="P366" s="155">
        <f t="shared" si="1114"/>
        <v>40</v>
      </c>
      <c r="Q366" s="155">
        <f t="shared" si="1131"/>
        <v>-20</v>
      </c>
      <c r="R366" s="153"/>
      <c r="S366" s="154">
        <f t="shared" ref="S366" si="1148">R366*15</f>
        <v>0</v>
      </c>
      <c r="T366" s="153"/>
      <c r="U366" s="154">
        <f t="shared" ref="U366" si="1149">T366*-15</f>
        <v>0</v>
      </c>
      <c r="V366" s="155">
        <f t="shared" ref="V366" si="1150">IF(AND(R366=2),10,IF(R366=3,30,IF(R366=4,50,IF(R366=5,70,0))))</f>
        <v>0</v>
      </c>
      <c r="W366" s="156">
        <f t="shared" ref="W366" si="1151">IF(G366="x",H366+J366+L366+N366+O366+P366+Q366+S366+U366+V366,0)</f>
        <v>0</v>
      </c>
    </row>
    <row r="367" spans="1:23" ht="10.5" hidden="1" customHeight="1" x14ac:dyDescent="0.2">
      <c r="A367" s="11"/>
      <c r="B367" s="150">
        <f>COUNTA(Spieltag!K354:AA354)</f>
        <v>0</v>
      </c>
      <c r="C367" s="166">
        <f>Spieltag!A354</f>
        <v>23</v>
      </c>
      <c r="D367" s="21" t="str">
        <f>Spieltag!B354</f>
        <v>John Anthony Brooks</v>
      </c>
      <c r="E367" s="151" t="str">
        <f>Spieltag!C354</f>
        <v>Abwehr</v>
      </c>
      <c r="F367" s="152" t="s">
        <v>77</v>
      </c>
      <c r="G367" s="153"/>
      <c r="H367" s="154">
        <f t="shared" si="1136"/>
        <v>0</v>
      </c>
      <c r="I367" s="153"/>
      <c r="J367" s="154">
        <f t="shared" si="1137"/>
        <v>0</v>
      </c>
      <c r="K367" s="153"/>
      <c r="L367" s="154">
        <f t="shared" si="1138"/>
        <v>0</v>
      </c>
      <c r="M367" s="153"/>
      <c r="N367" s="154">
        <f t="shared" si="1139"/>
        <v>0</v>
      </c>
      <c r="O367" s="155">
        <f t="shared" si="1113"/>
        <v>20</v>
      </c>
      <c r="P367" s="155">
        <f t="shared" si="1114"/>
        <v>40</v>
      </c>
      <c r="Q367" s="155">
        <f t="shared" si="1131"/>
        <v>-20</v>
      </c>
      <c r="R367" s="153"/>
      <c r="S367" s="154">
        <f t="shared" si="1140"/>
        <v>0</v>
      </c>
      <c r="T367" s="153"/>
      <c r="U367" s="154">
        <f t="shared" si="1141"/>
        <v>0</v>
      </c>
      <c r="V367" s="155">
        <f t="shared" si="1142"/>
        <v>0</v>
      </c>
      <c r="W367" s="156">
        <f t="shared" si="1143"/>
        <v>0</v>
      </c>
    </row>
    <row r="368" spans="1:23" ht="10.5" hidden="1" customHeight="1" x14ac:dyDescent="0.2">
      <c r="A368" s="11"/>
      <c r="B368" s="150">
        <f>COUNTA(Spieltag!K355:AA355)</f>
        <v>0</v>
      </c>
      <c r="C368" s="166">
        <f>Spieltag!A355</f>
        <v>25</v>
      </c>
      <c r="D368" s="21" t="str">
        <f>Spieltag!B355</f>
        <v>Kevin Akpoguma</v>
      </c>
      <c r="E368" s="151" t="str">
        <f>Spieltag!C355</f>
        <v>Abwehr</v>
      </c>
      <c r="F368" s="152" t="s">
        <v>77</v>
      </c>
      <c r="G368" s="153"/>
      <c r="H368" s="154">
        <f t="shared" si="1136"/>
        <v>0</v>
      </c>
      <c r="I368" s="153"/>
      <c r="J368" s="154">
        <f t="shared" si="1137"/>
        <v>0</v>
      </c>
      <c r="K368" s="153"/>
      <c r="L368" s="154">
        <f t="shared" si="1138"/>
        <v>0</v>
      </c>
      <c r="M368" s="153"/>
      <c r="N368" s="154">
        <f t="shared" si="1139"/>
        <v>0</v>
      </c>
      <c r="O368" s="155">
        <f t="shared" si="1113"/>
        <v>20</v>
      </c>
      <c r="P368" s="155">
        <f t="shared" si="1114"/>
        <v>40</v>
      </c>
      <c r="Q368" s="155">
        <f t="shared" si="1131"/>
        <v>-20</v>
      </c>
      <c r="R368" s="153"/>
      <c r="S368" s="154">
        <f t="shared" si="1140"/>
        <v>0</v>
      </c>
      <c r="T368" s="153"/>
      <c r="U368" s="154">
        <f t="shared" si="1141"/>
        <v>0</v>
      </c>
      <c r="V368" s="155">
        <f t="shared" si="1142"/>
        <v>0</v>
      </c>
      <c r="W368" s="156">
        <f t="shared" si="1143"/>
        <v>0</v>
      </c>
    </row>
    <row r="369" spans="1:23" ht="10.5" hidden="1" customHeight="1" x14ac:dyDescent="0.2">
      <c r="A369" s="11"/>
      <c r="B369" s="150">
        <f>COUNTA(Spieltag!K356:AA356)</f>
        <v>0</v>
      </c>
      <c r="C369" s="166">
        <f>Spieltag!A356</f>
        <v>34</v>
      </c>
      <c r="D369" s="21" t="str">
        <f>Spieltag!B356</f>
        <v>Stanley Nsoki (A)</v>
      </c>
      <c r="E369" s="151" t="str">
        <f>Spieltag!C356</f>
        <v>Abwehr</v>
      </c>
      <c r="F369" s="152" t="s">
        <v>77</v>
      </c>
      <c r="G369" s="153"/>
      <c r="H369" s="154">
        <f t="shared" si="1136"/>
        <v>0</v>
      </c>
      <c r="I369" s="153"/>
      <c r="J369" s="154">
        <f t="shared" si="1137"/>
        <v>0</v>
      </c>
      <c r="K369" s="153"/>
      <c r="L369" s="154">
        <f t="shared" si="1138"/>
        <v>0</v>
      </c>
      <c r="M369" s="153"/>
      <c r="N369" s="154">
        <f t="shared" si="1139"/>
        <v>0</v>
      </c>
      <c r="O369" s="155">
        <f t="shared" si="1113"/>
        <v>20</v>
      </c>
      <c r="P369" s="155">
        <f t="shared" si="1114"/>
        <v>40</v>
      </c>
      <c r="Q369" s="155">
        <f t="shared" si="1131"/>
        <v>-20</v>
      </c>
      <c r="R369" s="153"/>
      <c r="S369" s="154">
        <f t="shared" si="1140"/>
        <v>0</v>
      </c>
      <c r="T369" s="153"/>
      <c r="U369" s="154">
        <f t="shared" si="1141"/>
        <v>0</v>
      </c>
      <c r="V369" s="155">
        <f t="shared" si="1142"/>
        <v>0</v>
      </c>
      <c r="W369" s="156">
        <f t="shared" si="1143"/>
        <v>0</v>
      </c>
    </row>
    <row r="370" spans="1:23" ht="10.5" hidden="1" customHeight="1" x14ac:dyDescent="0.2">
      <c r="A370" s="11"/>
      <c r="B370" s="150">
        <f>COUNTA(Spieltag!K357:AA357)</f>
        <v>0</v>
      </c>
      <c r="C370" s="166">
        <f>Spieltag!A357</f>
        <v>6</v>
      </c>
      <c r="D370" s="21" t="str">
        <f>Spieltag!B357</f>
        <v>Grischa Prömel</v>
      </c>
      <c r="E370" s="151" t="str">
        <f>Spieltag!C357</f>
        <v>Mittelfeld</v>
      </c>
      <c r="F370" s="152" t="s">
        <v>77</v>
      </c>
      <c r="G370" s="153"/>
      <c r="H370" s="154">
        <f>IF(G370="x",10,0)</f>
        <v>0</v>
      </c>
      <c r="I370" s="153"/>
      <c r="J370" s="154">
        <f>IF((I370="x"),-10,0)</f>
        <v>0</v>
      </c>
      <c r="K370" s="153"/>
      <c r="L370" s="154">
        <f>IF((K370="x"),-20,0)</f>
        <v>0</v>
      </c>
      <c r="M370" s="153"/>
      <c r="N370" s="154">
        <f>IF((M370="x"),-30,0)</f>
        <v>0</v>
      </c>
      <c r="O370" s="155">
        <f t="shared" si="1113"/>
        <v>20</v>
      </c>
      <c r="P370" s="155">
        <f t="shared" si="1114"/>
        <v>40</v>
      </c>
      <c r="Q370" s="155">
        <f t="shared" ref="Q370:Q378" si="1152">IF(($W$3&lt;&gt;0),$W$3*-10,10)</f>
        <v>-20</v>
      </c>
      <c r="R370" s="153"/>
      <c r="S370" s="154">
        <f>R370*10</f>
        <v>0</v>
      </c>
      <c r="T370" s="153"/>
      <c r="U370" s="154">
        <f>T370*-15</f>
        <v>0</v>
      </c>
      <c r="V370" s="155">
        <f>IF(AND(R370=2),10,IF(R370=3,30,IF(R370=4,50,IF(R370=5,70,0))))</f>
        <v>0</v>
      </c>
      <c r="W370" s="156">
        <f>IF(G370="x",H370+J370+L370+N370+O370+P370+Q370+S370+U370+V370,0)</f>
        <v>0</v>
      </c>
    </row>
    <row r="371" spans="1:23" ht="10.5" hidden="1" customHeight="1" x14ac:dyDescent="0.2">
      <c r="A371" s="11"/>
      <c r="B371" s="150">
        <f>COUNTA(Spieltag!K358:AA358)</f>
        <v>0</v>
      </c>
      <c r="C371" s="166">
        <f>Spieltag!A358</f>
        <v>8</v>
      </c>
      <c r="D371" s="21" t="str">
        <f>Spieltag!B358</f>
        <v>Dennis Geiger</v>
      </c>
      <c r="E371" s="151" t="str">
        <f>Spieltag!C358</f>
        <v>Mittelfeld</v>
      </c>
      <c r="F371" s="152" t="s">
        <v>77</v>
      </c>
      <c r="G371" s="153"/>
      <c r="H371" s="154">
        <f t="shared" ref="H371:H378" si="1153">IF(G371="x",10,0)</f>
        <v>0</v>
      </c>
      <c r="I371" s="153"/>
      <c r="J371" s="154">
        <f t="shared" ref="J371:J378" si="1154">IF((I371="x"),-10,0)</f>
        <v>0</v>
      </c>
      <c r="K371" s="153"/>
      <c r="L371" s="154">
        <f t="shared" ref="L371:L378" si="1155">IF((K371="x"),-20,0)</f>
        <v>0</v>
      </c>
      <c r="M371" s="153"/>
      <c r="N371" s="154">
        <f t="shared" ref="N371:N378" si="1156">IF((M371="x"),-30,0)</f>
        <v>0</v>
      </c>
      <c r="O371" s="155">
        <f t="shared" si="1113"/>
        <v>20</v>
      </c>
      <c r="P371" s="155">
        <f t="shared" si="1114"/>
        <v>40</v>
      </c>
      <c r="Q371" s="155">
        <f t="shared" si="1152"/>
        <v>-20</v>
      </c>
      <c r="R371" s="153"/>
      <c r="S371" s="154">
        <f t="shared" ref="S371:S378" si="1157">R371*10</f>
        <v>0</v>
      </c>
      <c r="T371" s="153"/>
      <c r="U371" s="154">
        <f t="shared" ref="U371:U378" si="1158">T371*-15</f>
        <v>0</v>
      </c>
      <c r="V371" s="155">
        <f t="shared" ref="V371:V377" si="1159">IF(AND(R371=2),10,IF(R371=3,30,IF(R371=4,50,IF(R371=5,70,0))))</f>
        <v>0</v>
      </c>
      <c r="W371" s="156">
        <f t="shared" ref="W371:W377" si="1160">IF(G371="x",H371+J371+L371+N371+O371+P371+Q371+S371+U371+V371,0)</f>
        <v>0</v>
      </c>
    </row>
    <row r="372" spans="1:23" ht="10.5" hidden="1" customHeight="1" x14ac:dyDescent="0.2">
      <c r="A372" s="11"/>
      <c r="B372" s="150">
        <f>COUNTA(Spieltag!K359:AA359)</f>
        <v>0</v>
      </c>
      <c r="C372" s="166">
        <f>Spieltag!A359</f>
        <v>11</v>
      </c>
      <c r="D372" s="21" t="str">
        <f>Spieltag!B359</f>
        <v>Florian Grillitsch (A)</v>
      </c>
      <c r="E372" s="151" t="str">
        <f>Spieltag!C359</f>
        <v>Mittelfeld</v>
      </c>
      <c r="F372" s="152" t="s">
        <v>77</v>
      </c>
      <c r="G372" s="153"/>
      <c r="H372" s="154">
        <f t="shared" si="1153"/>
        <v>0</v>
      </c>
      <c r="I372" s="153"/>
      <c r="J372" s="154">
        <f t="shared" si="1154"/>
        <v>0</v>
      </c>
      <c r="K372" s="153"/>
      <c r="L372" s="154">
        <f t="shared" si="1155"/>
        <v>0</v>
      </c>
      <c r="M372" s="153"/>
      <c r="N372" s="154">
        <f t="shared" si="1156"/>
        <v>0</v>
      </c>
      <c r="O372" s="155">
        <f t="shared" si="1113"/>
        <v>20</v>
      </c>
      <c r="P372" s="155">
        <f t="shared" si="1114"/>
        <v>40</v>
      </c>
      <c r="Q372" s="155">
        <f t="shared" si="1152"/>
        <v>-20</v>
      </c>
      <c r="R372" s="153"/>
      <c r="S372" s="154">
        <f t="shared" si="1157"/>
        <v>0</v>
      </c>
      <c r="T372" s="153"/>
      <c r="U372" s="154">
        <f t="shared" si="1158"/>
        <v>0</v>
      </c>
      <c r="V372" s="155">
        <f t="shared" si="1159"/>
        <v>0</v>
      </c>
      <c r="W372" s="156">
        <f t="shared" si="1160"/>
        <v>0</v>
      </c>
    </row>
    <row r="373" spans="1:23" ht="10.5" hidden="1" customHeight="1" x14ac:dyDescent="0.2">
      <c r="A373" s="11"/>
      <c r="B373" s="150">
        <f>COUNTA(Spieltag!K360:AA360)</f>
        <v>0</v>
      </c>
      <c r="C373" s="166">
        <f>Spieltag!A360</f>
        <v>16</v>
      </c>
      <c r="D373" s="21" t="str">
        <f>Spieltag!B360</f>
        <v>Anton Stach</v>
      </c>
      <c r="E373" s="151" t="str">
        <f>Spieltag!C360</f>
        <v>Mittelfeld</v>
      </c>
      <c r="F373" s="152" t="s">
        <v>77</v>
      </c>
      <c r="G373" s="153"/>
      <c r="H373" s="154">
        <f t="shared" ref="H373" si="1161">IF(G373="x",10,0)</f>
        <v>0</v>
      </c>
      <c r="I373" s="153"/>
      <c r="J373" s="154">
        <f t="shared" ref="J373" si="1162">IF((I373="x"),-10,0)</f>
        <v>0</v>
      </c>
      <c r="K373" s="153"/>
      <c r="L373" s="154">
        <f t="shared" ref="L373" si="1163">IF((K373="x"),-20,0)</f>
        <v>0</v>
      </c>
      <c r="M373" s="153"/>
      <c r="N373" s="154">
        <f t="shared" ref="N373" si="1164">IF((M373="x"),-30,0)</f>
        <v>0</v>
      </c>
      <c r="O373" s="155">
        <f t="shared" si="1113"/>
        <v>20</v>
      </c>
      <c r="P373" s="155">
        <f t="shared" si="1114"/>
        <v>40</v>
      </c>
      <c r="Q373" s="155">
        <f t="shared" si="1152"/>
        <v>-20</v>
      </c>
      <c r="R373" s="153"/>
      <c r="S373" s="154">
        <f t="shared" ref="S373" si="1165">R373*10</f>
        <v>0</v>
      </c>
      <c r="T373" s="153"/>
      <c r="U373" s="154">
        <f t="shared" ref="U373" si="1166">T373*-15</f>
        <v>0</v>
      </c>
      <c r="V373" s="155">
        <f t="shared" ref="V373" si="1167">IF(AND(R373=2),10,IF(R373=3,30,IF(R373=4,50,IF(R373=5,70,0))))</f>
        <v>0</v>
      </c>
      <c r="W373" s="156">
        <f t="shared" ref="W373" si="1168">IF(G373="x",H373+J373+L373+N373+O373+P373+Q373+S373+U373+V373,0)</f>
        <v>0</v>
      </c>
    </row>
    <row r="374" spans="1:23" ht="10.5" hidden="1" customHeight="1" x14ac:dyDescent="0.2">
      <c r="A374" s="11"/>
      <c r="B374" s="150">
        <f>COUNTA(Spieltag!K361:AA361)</f>
        <v>0</v>
      </c>
      <c r="C374" s="166">
        <f>Spieltag!A361</f>
        <v>20</v>
      </c>
      <c r="D374" s="21" t="str">
        <f>Spieltag!B361</f>
        <v>Finn Ole Becker</v>
      </c>
      <c r="E374" s="151" t="str">
        <f>Spieltag!C361</f>
        <v>Mittelfeld</v>
      </c>
      <c r="F374" s="152" t="s">
        <v>77</v>
      </c>
      <c r="G374" s="153"/>
      <c r="H374" s="154">
        <f t="shared" si="1153"/>
        <v>0</v>
      </c>
      <c r="I374" s="153"/>
      <c r="J374" s="154">
        <f t="shared" si="1154"/>
        <v>0</v>
      </c>
      <c r="K374" s="153"/>
      <c r="L374" s="154">
        <f t="shared" si="1155"/>
        <v>0</v>
      </c>
      <c r="M374" s="153"/>
      <c r="N374" s="154">
        <f t="shared" si="1156"/>
        <v>0</v>
      </c>
      <c r="O374" s="155">
        <f t="shared" si="1113"/>
        <v>20</v>
      </c>
      <c r="P374" s="155">
        <f t="shared" si="1114"/>
        <v>40</v>
      </c>
      <c r="Q374" s="155">
        <f t="shared" si="1152"/>
        <v>-20</v>
      </c>
      <c r="R374" s="153"/>
      <c r="S374" s="154">
        <f t="shared" si="1157"/>
        <v>0</v>
      </c>
      <c r="T374" s="153"/>
      <c r="U374" s="154">
        <f t="shared" si="1158"/>
        <v>0</v>
      </c>
      <c r="V374" s="155">
        <f t="shared" si="1159"/>
        <v>0</v>
      </c>
      <c r="W374" s="156">
        <f t="shared" si="1160"/>
        <v>0</v>
      </c>
    </row>
    <row r="375" spans="1:23" ht="10.5" hidden="1" customHeight="1" x14ac:dyDescent="0.2">
      <c r="A375" s="11"/>
      <c r="B375" s="150">
        <f>COUNTA(Spieltag!K362:AA362)</f>
        <v>0</v>
      </c>
      <c r="C375" s="166">
        <f>Spieltag!A362</f>
        <v>24</v>
      </c>
      <c r="D375" s="21" t="str">
        <f>Spieltag!B362</f>
        <v>Marco John</v>
      </c>
      <c r="E375" s="151" t="str">
        <f>Spieltag!C362</f>
        <v>Mittelfeld</v>
      </c>
      <c r="F375" s="152" t="s">
        <v>77</v>
      </c>
      <c r="G375" s="153"/>
      <c r="H375" s="154">
        <f t="shared" si="1153"/>
        <v>0</v>
      </c>
      <c r="I375" s="153"/>
      <c r="J375" s="154">
        <f t="shared" si="1154"/>
        <v>0</v>
      </c>
      <c r="K375" s="153"/>
      <c r="L375" s="154">
        <f t="shared" si="1155"/>
        <v>0</v>
      </c>
      <c r="M375" s="153"/>
      <c r="N375" s="154">
        <f t="shared" si="1156"/>
        <v>0</v>
      </c>
      <c r="O375" s="155">
        <f t="shared" si="1113"/>
        <v>20</v>
      </c>
      <c r="P375" s="155">
        <f t="shared" si="1114"/>
        <v>40</v>
      </c>
      <c r="Q375" s="155">
        <f t="shared" si="1152"/>
        <v>-20</v>
      </c>
      <c r="R375" s="153"/>
      <c r="S375" s="154">
        <f t="shared" si="1157"/>
        <v>0</v>
      </c>
      <c r="T375" s="153"/>
      <c r="U375" s="154">
        <f t="shared" si="1158"/>
        <v>0</v>
      </c>
      <c r="V375" s="155">
        <f t="shared" si="1159"/>
        <v>0</v>
      </c>
      <c r="W375" s="156">
        <f t="shared" si="1160"/>
        <v>0</v>
      </c>
    </row>
    <row r="376" spans="1:23" ht="10.5" hidden="1" customHeight="1" x14ac:dyDescent="0.2">
      <c r="A376" s="11"/>
      <c r="B376" s="150">
        <f>COUNTA(Spieltag!K363:AA363)</f>
        <v>0</v>
      </c>
      <c r="C376" s="166">
        <f>Spieltag!A363</f>
        <v>31</v>
      </c>
      <c r="D376" s="21" t="str">
        <f>Spieltag!B363</f>
        <v>Bambasé Conté</v>
      </c>
      <c r="E376" s="151" t="str">
        <f>Spieltag!C363</f>
        <v>Mittelfeld</v>
      </c>
      <c r="F376" s="152" t="s">
        <v>77</v>
      </c>
      <c r="G376" s="153"/>
      <c r="H376" s="154">
        <f t="shared" ref="H376" si="1169">IF(G376="x",10,0)</f>
        <v>0</v>
      </c>
      <c r="I376" s="153"/>
      <c r="J376" s="154">
        <f t="shared" ref="J376" si="1170">IF((I376="x"),-10,0)</f>
        <v>0</v>
      </c>
      <c r="K376" s="153"/>
      <c r="L376" s="154">
        <f t="shared" ref="L376" si="1171">IF((K376="x"),-20,0)</f>
        <v>0</v>
      </c>
      <c r="M376" s="153"/>
      <c r="N376" s="154">
        <f t="shared" ref="N376" si="1172">IF((M376="x"),-30,0)</f>
        <v>0</v>
      </c>
      <c r="O376" s="155">
        <f t="shared" si="1113"/>
        <v>20</v>
      </c>
      <c r="P376" s="155">
        <f t="shared" si="1114"/>
        <v>40</v>
      </c>
      <c r="Q376" s="155">
        <f t="shared" si="1152"/>
        <v>-20</v>
      </c>
      <c r="R376" s="153"/>
      <c r="S376" s="154">
        <f t="shared" ref="S376" si="1173">R376*10</f>
        <v>0</v>
      </c>
      <c r="T376" s="153"/>
      <c r="U376" s="154">
        <f t="shared" ref="U376" si="1174">T376*-15</f>
        <v>0</v>
      </c>
      <c r="V376" s="155">
        <f t="shared" ref="V376" si="1175">IF(AND(R376=2),10,IF(R376=3,30,IF(R376=4,50,IF(R376=5,70,0))))</f>
        <v>0</v>
      </c>
      <c r="W376" s="156">
        <f t="shared" ref="W376" si="1176">IF(G376="x",H376+J376+L376+N376+O376+P376+Q376+S376+U376+V376,0)</f>
        <v>0</v>
      </c>
    </row>
    <row r="377" spans="1:23" ht="10.5" hidden="1" customHeight="1" x14ac:dyDescent="0.2">
      <c r="A377" s="11"/>
      <c r="B377" s="150">
        <f>COUNTA(Spieltag!K364:AA364)</f>
        <v>0</v>
      </c>
      <c r="C377" s="166">
        <f>Spieltag!A364</f>
        <v>39</v>
      </c>
      <c r="D377" s="21" t="str">
        <f>Spieltag!B364</f>
        <v>Tom Bischof</v>
      </c>
      <c r="E377" s="151" t="str">
        <f>Spieltag!C364</f>
        <v>Mittelfeld</v>
      </c>
      <c r="F377" s="152" t="s">
        <v>77</v>
      </c>
      <c r="G377" s="153"/>
      <c r="H377" s="154">
        <f t="shared" si="1153"/>
        <v>0</v>
      </c>
      <c r="I377" s="153"/>
      <c r="J377" s="154">
        <f t="shared" si="1154"/>
        <v>0</v>
      </c>
      <c r="K377" s="153"/>
      <c r="L377" s="154">
        <f t="shared" si="1155"/>
        <v>0</v>
      </c>
      <c r="M377" s="153"/>
      <c r="N377" s="154">
        <f t="shared" si="1156"/>
        <v>0</v>
      </c>
      <c r="O377" s="155">
        <f t="shared" si="1113"/>
        <v>20</v>
      </c>
      <c r="P377" s="155">
        <f t="shared" si="1114"/>
        <v>40</v>
      </c>
      <c r="Q377" s="155">
        <f t="shared" si="1152"/>
        <v>-20</v>
      </c>
      <c r="R377" s="153"/>
      <c r="S377" s="154">
        <f t="shared" si="1157"/>
        <v>0</v>
      </c>
      <c r="T377" s="153"/>
      <c r="U377" s="154">
        <f t="shared" si="1158"/>
        <v>0</v>
      </c>
      <c r="V377" s="155">
        <f t="shared" si="1159"/>
        <v>0</v>
      </c>
      <c r="W377" s="156">
        <f t="shared" si="1160"/>
        <v>0</v>
      </c>
    </row>
    <row r="378" spans="1:23" ht="10.5" hidden="1" customHeight="1" x14ac:dyDescent="0.2">
      <c r="A378" s="11"/>
      <c r="B378" s="150">
        <f>COUNTA(Spieltag!K365:AA365)</f>
        <v>0</v>
      </c>
      <c r="C378" s="166">
        <f>Spieltag!A365</f>
        <v>40</v>
      </c>
      <c r="D378" s="21" t="str">
        <f>Spieltag!B365</f>
        <v>Umut Tohumcu</v>
      </c>
      <c r="E378" s="151" t="str">
        <f>Spieltag!C365</f>
        <v>Mittelfeld</v>
      </c>
      <c r="F378" s="152" t="s">
        <v>77</v>
      </c>
      <c r="G378" s="153"/>
      <c r="H378" s="154">
        <f t="shared" si="1153"/>
        <v>0</v>
      </c>
      <c r="I378" s="153"/>
      <c r="J378" s="154">
        <f t="shared" si="1154"/>
        <v>0</v>
      </c>
      <c r="K378" s="153"/>
      <c r="L378" s="154">
        <f t="shared" si="1155"/>
        <v>0</v>
      </c>
      <c r="M378" s="153"/>
      <c r="N378" s="154">
        <f t="shared" si="1156"/>
        <v>0</v>
      </c>
      <c r="O378" s="155">
        <f t="shared" si="1113"/>
        <v>20</v>
      </c>
      <c r="P378" s="155">
        <f t="shared" si="1114"/>
        <v>40</v>
      </c>
      <c r="Q378" s="155">
        <f t="shared" si="1152"/>
        <v>-20</v>
      </c>
      <c r="R378" s="153"/>
      <c r="S378" s="154">
        <f t="shared" si="1157"/>
        <v>0</v>
      </c>
      <c r="T378" s="153"/>
      <c r="U378" s="154">
        <f t="shared" si="1158"/>
        <v>0</v>
      </c>
      <c r="V378" s="155">
        <f t="shared" ref="V378" si="1177">IF(AND(R378=2),10,IF(R378=3,30,IF(R378=4,50,IF(R378=5,70,0))))</f>
        <v>0</v>
      </c>
      <c r="W378" s="156">
        <f t="shared" ref="W378" si="1178">IF(G378="x",H378+J378+L378+N378+O378+P378+Q378+S378+U378+V378,0)</f>
        <v>0</v>
      </c>
    </row>
    <row r="379" spans="1:23" ht="10.5" hidden="1" customHeight="1" x14ac:dyDescent="0.2">
      <c r="A379" s="11"/>
      <c r="B379" s="150">
        <f>COUNTA(Spieltag!K366:AA366)</f>
        <v>0</v>
      </c>
      <c r="C379" s="166">
        <f>Spieltag!A366</f>
        <v>7</v>
      </c>
      <c r="D379" s="21" t="str">
        <f>Spieltag!B366</f>
        <v>Mërgim Berisha</v>
      </c>
      <c r="E379" s="151" t="str">
        <f>Spieltag!C366</f>
        <v>Sturm</v>
      </c>
      <c r="F379" s="152" t="s">
        <v>77</v>
      </c>
      <c r="G379" s="153"/>
      <c r="H379" s="154">
        <f>IF(G379="x",10,0)</f>
        <v>0</v>
      </c>
      <c r="I379" s="153"/>
      <c r="J379" s="154">
        <f>IF((I379="x"),-10,0)</f>
        <v>0</v>
      </c>
      <c r="K379" s="153"/>
      <c r="L379" s="154">
        <f>IF((K379="x"),-20,0)</f>
        <v>0</v>
      </c>
      <c r="M379" s="153"/>
      <c r="N379" s="154">
        <f>IF((M379="x"),-30,0)</f>
        <v>0</v>
      </c>
      <c r="O379" s="155">
        <f t="shared" si="1113"/>
        <v>20</v>
      </c>
      <c r="P379" s="155">
        <f t="shared" si="1114"/>
        <v>40</v>
      </c>
      <c r="Q379" s="155">
        <f t="shared" ref="Q379:Q385" si="1179">IF(($W$3&lt;&gt;0),$W$3*-10,5)</f>
        <v>-20</v>
      </c>
      <c r="R379" s="153"/>
      <c r="S379" s="154">
        <f>R379*10</f>
        <v>0</v>
      </c>
      <c r="T379" s="153"/>
      <c r="U379" s="154">
        <f>T379*-15</f>
        <v>0</v>
      </c>
      <c r="V379" s="155">
        <f>IF(AND(R379=2),10,IF(R379=3,30,IF(R379=4,50,IF(R379=5,70,0))))</f>
        <v>0</v>
      </c>
      <c r="W379" s="156">
        <f>IF(G379="x",H379+J379+L379+N379+O379+P379+Q379+S379+U379+V379,0)</f>
        <v>0</v>
      </c>
    </row>
    <row r="380" spans="1:23" ht="10.5" hidden="1" customHeight="1" x14ac:dyDescent="0.2">
      <c r="A380" s="11"/>
      <c r="B380" s="150">
        <f>COUNTA(Spieltag!K367:AA367)</f>
        <v>0</v>
      </c>
      <c r="C380" s="166">
        <f>Spieltag!A367</f>
        <v>9</v>
      </c>
      <c r="D380" s="21" t="str">
        <f>Spieltag!B367</f>
        <v>Ihlas Bebou (A)</v>
      </c>
      <c r="E380" s="151" t="str">
        <f>Spieltag!C367</f>
        <v>Sturm</v>
      </c>
      <c r="F380" s="152" t="s">
        <v>77</v>
      </c>
      <c r="G380" s="153"/>
      <c r="H380" s="154">
        <f>IF(G380="x",10,0)</f>
        <v>0</v>
      </c>
      <c r="I380" s="153"/>
      <c r="J380" s="154">
        <f>IF((I380="x"),-10,0)</f>
        <v>0</v>
      </c>
      <c r="K380" s="153"/>
      <c r="L380" s="154">
        <f>IF((K380="x"),-20,0)</f>
        <v>0</v>
      </c>
      <c r="M380" s="153"/>
      <c r="N380" s="154">
        <f>IF((M380="x"),-30,0)</f>
        <v>0</v>
      </c>
      <c r="O380" s="155">
        <f t="shared" si="1113"/>
        <v>20</v>
      </c>
      <c r="P380" s="155">
        <f t="shared" si="1114"/>
        <v>40</v>
      </c>
      <c r="Q380" s="155">
        <f t="shared" si="1179"/>
        <v>-20</v>
      </c>
      <c r="R380" s="153"/>
      <c r="S380" s="154">
        <f>R380*10</f>
        <v>0</v>
      </c>
      <c r="T380" s="153"/>
      <c r="U380" s="154">
        <f>T380*-15</f>
        <v>0</v>
      </c>
      <c r="V380" s="155">
        <f>IF(AND(R380=2),10,IF(R380=3,30,IF(R380=4,50,IF(R380=5,70,0))))</f>
        <v>0</v>
      </c>
      <c r="W380" s="156">
        <f>IF(G380="x",H380+J380+L380+N380+O380+P380+Q380+S380+U380+V380,0)</f>
        <v>0</v>
      </c>
    </row>
    <row r="381" spans="1:23" ht="10.5" hidden="1" customHeight="1" x14ac:dyDescent="0.2">
      <c r="A381" s="11"/>
      <c r="B381" s="150">
        <f>COUNTA(Spieltag!K368:AA368)</f>
        <v>0</v>
      </c>
      <c r="C381" s="166">
        <f>Spieltag!A368</f>
        <v>10</v>
      </c>
      <c r="D381" s="21" t="str">
        <f>Spieltag!B368</f>
        <v>Wout Weghorst (A)</v>
      </c>
      <c r="E381" s="151" t="str">
        <f>Spieltag!C368</f>
        <v>Sturm</v>
      </c>
      <c r="F381" s="152" t="s">
        <v>77</v>
      </c>
      <c r="G381" s="153"/>
      <c r="H381" s="154">
        <f t="shared" ref="H381:H385" si="1180">IF(G381="x",10,0)</f>
        <v>0</v>
      </c>
      <c r="I381" s="153"/>
      <c r="J381" s="154">
        <f t="shared" ref="J381:J385" si="1181">IF((I381="x"),-10,0)</f>
        <v>0</v>
      </c>
      <c r="K381" s="153"/>
      <c r="L381" s="154">
        <f t="shared" ref="L381:L385" si="1182">IF((K381="x"),-20,0)</f>
        <v>0</v>
      </c>
      <c r="M381" s="153"/>
      <c r="N381" s="154">
        <f t="shared" ref="N381:N385" si="1183">IF((M381="x"),-30,0)</f>
        <v>0</v>
      </c>
      <c r="O381" s="155">
        <f t="shared" si="1113"/>
        <v>20</v>
      </c>
      <c r="P381" s="155">
        <f t="shared" si="1114"/>
        <v>40</v>
      </c>
      <c r="Q381" s="155">
        <f t="shared" si="1179"/>
        <v>-20</v>
      </c>
      <c r="R381" s="153"/>
      <c r="S381" s="154">
        <f t="shared" ref="S381:S385" si="1184">R381*10</f>
        <v>0</v>
      </c>
      <c r="T381" s="153"/>
      <c r="U381" s="154">
        <f t="shared" ref="U381:U385" si="1185">T381*-15</f>
        <v>0</v>
      </c>
      <c r="V381" s="155">
        <f t="shared" ref="V381:V385" si="1186">IF(AND(R381=2),10,IF(R381=3,30,IF(R381=4,50,IF(R381=5,70,0))))</f>
        <v>0</v>
      </c>
      <c r="W381" s="156">
        <f t="shared" ref="W381:W385" si="1187">IF(G381="x",H381+J381+L381+N381+O381+P381+Q381+S381+U381+V381,0)</f>
        <v>0</v>
      </c>
    </row>
    <row r="382" spans="1:23" ht="10.5" customHeight="1" x14ac:dyDescent="0.2">
      <c r="A382" s="11"/>
      <c r="B382" s="150">
        <f>COUNTA(Spieltag!K369:AA369)</f>
        <v>1</v>
      </c>
      <c r="C382" s="166">
        <f>Spieltag!A369</f>
        <v>14</v>
      </c>
      <c r="D382" s="21" t="str">
        <f>Spieltag!B369</f>
        <v>Maximilian Beier</v>
      </c>
      <c r="E382" s="151" t="str">
        <f>Spieltag!C369</f>
        <v>Sturm</v>
      </c>
      <c r="F382" s="152" t="s">
        <v>77</v>
      </c>
      <c r="G382" s="153" t="s">
        <v>676</v>
      </c>
      <c r="H382" s="154">
        <f t="shared" si="1180"/>
        <v>10</v>
      </c>
      <c r="I382" s="153"/>
      <c r="J382" s="154">
        <f t="shared" si="1181"/>
        <v>0</v>
      </c>
      <c r="K382" s="153"/>
      <c r="L382" s="154">
        <f t="shared" si="1182"/>
        <v>0</v>
      </c>
      <c r="M382" s="153"/>
      <c r="N382" s="154">
        <f t="shared" si="1183"/>
        <v>0</v>
      </c>
      <c r="O382" s="155">
        <f t="shared" si="1113"/>
        <v>20</v>
      </c>
      <c r="P382" s="155">
        <f t="shared" si="1114"/>
        <v>40</v>
      </c>
      <c r="Q382" s="155">
        <f t="shared" si="1179"/>
        <v>-20</v>
      </c>
      <c r="R382" s="153">
        <v>1</v>
      </c>
      <c r="S382" s="154">
        <f t="shared" si="1184"/>
        <v>10</v>
      </c>
      <c r="T382" s="153"/>
      <c r="U382" s="154">
        <f t="shared" si="1185"/>
        <v>0</v>
      </c>
      <c r="V382" s="155">
        <f t="shared" si="1186"/>
        <v>0</v>
      </c>
      <c r="W382" s="156">
        <f t="shared" si="1187"/>
        <v>60</v>
      </c>
    </row>
    <row r="383" spans="1:23" ht="10.5" hidden="1" customHeight="1" x14ac:dyDescent="0.2">
      <c r="A383" s="11"/>
      <c r="B383" s="150">
        <f>COUNTA(Spieltag!K370:AA370)</f>
        <v>0</v>
      </c>
      <c r="C383" s="166">
        <f>Spieltag!A370</f>
        <v>21</v>
      </c>
      <c r="D383" s="21" t="str">
        <f>Spieltag!B370</f>
        <v>Marius Bülter</v>
      </c>
      <c r="E383" s="151" t="str">
        <f>Spieltag!C370</f>
        <v>Sturm</v>
      </c>
      <c r="F383" s="152" t="s">
        <v>77</v>
      </c>
      <c r="G383" s="153"/>
      <c r="H383" s="154">
        <f t="shared" ref="H383" si="1188">IF(G383="x",10,0)</f>
        <v>0</v>
      </c>
      <c r="I383" s="153"/>
      <c r="J383" s="154">
        <f t="shared" ref="J383" si="1189">IF((I383="x"),-10,0)</f>
        <v>0</v>
      </c>
      <c r="K383" s="153"/>
      <c r="L383" s="154">
        <f t="shared" ref="L383" si="1190">IF((K383="x"),-20,0)</f>
        <v>0</v>
      </c>
      <c r="M383" s="153"/>
      <c r="N383" s="154">
        <f t="shared" ref="N383" si="1191">IF((M383="x"),-30,0)</f>
        <v>0</v>
      </c>
      <c r="O383" s="155">
        <f t="shared" si="1113"/>
        <v>20</v>
      </c>
      <c r="P383" s="155">
        <f t="shared" si="1114"/>
        <v>40</v>
      </c>
      <c r="Q383" s="155">
        <f t="shared" si="1179"/>
        <v>-20</v>
      </c>
      <c r="R383" s="153"/>
      <c r="S383" s="154">
        <f t="shared" ref="S383" si="1192">R383*10</f>
        <v>0</v>
      </c>
      <c r="T383" s="153"/>
      <c r="U383" s="154">
        <f t="shared" ref="U383" si="1193">T383*-15</f>
        <v>0</v>
      </c>
      <c r="V383" s="155">
        <f t="shared" ref="V383" si="1194">IF(AND(R383=2),10,IF(R383=3,30,IF(R383=4,50,IF(R383=5,70,0))))</f>
        <v>0</v>
      </c>
      <c r="W383" s="156">
        <f t="shared" ref="W383" si="1195">IF(G383="x",H383+J383+L383+N383+O383+P383+Q383+S383+U383+V383,0)</f>
        <v>0</v>
      </c>
    </row>
    <row r="384" spans="1:23" ht="10.5" hidden="1" customHeight="1" x14ac:dyDescent="0.2">
      <c r="A384" s="11"/>
      <c r="B384" s="150">
        <f>COUNTA(Spieltag!K371:AA371)</f>
        <v>0</v>
      </c>
      <c r="C384" s="166">
        <f>Spieltag!A371</f>
        <v>27</v>
      </c>
      <c r="D384" s="21" t="str">
        <f>Spieltag!B371</f>
        <v>Andrej Kramarić (A)</v>
      </c>
      <c r="E384" s="151" t="str">
        <f>Spieltag!C371</f>
        <v>Sturm</v>
      </c>
      <c r="F384" s="152" t="s">
        <v>77</v>
      </c>
      <c r="G384" s="153"/>
      <c r="H384" s="154">
        <f t="shared" si="1180"/>
        <v>0</v>
      </c>
      <c r="I384" s="153"/>
      <c r="J384" s="154">
        <f t="shared" si="1181"/>
        <v>0</v>
      </c>
      <c r="K384" s="153"/>
      <c r="L384" s="154">
        <f t="shared" si="1182"/>
        <v>0</v>
      </c>
      <c r="M384" s="153"/>
      <c r="N384" s="154">
        <f t="shared" si="1183"/>
        <v>0</v>
      </c>
      <c r="O384" s="155">
        <f t="shared" si="1113"/>
        <v>20</v>
      </c>
      <c r="P384" s="155">
        <f t="shared" si="1114"/>
        <v>40</v>
      </c>
      <c r="Q384" s="155">
        <f t="shared" si="1179"/>
        <v>-20</v>
      </c>
      <c r="R384" s="153"/>
      <c r="S384" s="154">
        <f t="shared" si="1184"/>
        <v>0</v>
      </c>
      <c r="T384" s="153"/>
      <c r="U384" s="154">
        <f t="shared" si="1185"/>
        <v>0</v>
      </c>
      <c r="V384" s="155">
        <f t="shared" si="1186"/>
        <v>0</v>
      </c>
      <c r="W384" s="156">
        <f t="shared" si="1187"/>
        <v>0</v>
      </c>
    </row>
    <row r="385" spans="1:23" ht="10.5" hidden="1" customHeight="1" x14ac:dyDescent="0.2">
      <c r="A385" s="11"/>
      <c r="B385" s="150">
        <f>COUNTA(Spieltag!K372:AA372)</f>
        <v>0</v>
      </c>
      <c r="C385" s="166">
        <f>Spieltag!A372</f>
        <v>29</v>
      </c>
      <c r="D385" s="21" t="str">
        <f>Spieltag!B372</f>
        <v>Robert Skov (A)</v>
      </c>
      <c r="E385" s="151" t="str">
        <f>Spieltag!C372</f>
        <v>Sturm</v>
      </c>
      <c r="F385" s="152" t="s">
        <v>77</v>
      </c>
      <c r="G385" s="153"/>
      <c r="H385" s="154">
        <f t="shared" si="1180"/>
        <v>0</v>
      </c>
      <c r="I385" s="153"/>
      <c r="J385" s="154">
        <f t="shared" si="1181"/>
        <v>0</v>
      </c>
      <c r="K385" s="153"/>
      <c r="L385" s="154">
        <f t="shared" si="1182"/>
        <v>0</v>
      </c>
      <c r="M385" s="153"/>
      <c r="N385" s="154">
        <f t="shared" si="1183"/>
        <v>0</v>
      </c>
      <c r="O385" s="155">
        <f t="shared" si="1113"/>
        <v>20</v>
      </c>
      <c r="P385" s="155">
        <f t="shared" si="1114"/>
        <v>40</v>
      </c>
      <c r="Q385" s="155">
        <f t="shared" si="1179"/>
        <v>-20</v>
      </c>
      <c r="R385" s="153"/>
      <c r="S385" s="154">
        <f t="shared" si="1184"/>
        <v>0</v>
      </c>
      <c r="T385" s="153"/>
      <c r="U385" s="154">
        <f t="shared" si="1185"/>
        <v>0</v>
      </c>
      <c r="V385" s="155">
        <f t="shared" si="1186"/>
        <v>0</v>
      </c>
      <c r="W385" s="156">
        <f t="shared" si="1187"/>
        <v>0</v>
      </c>
    </row>
    <row r="386" spans="1:23" s="144" customFormat="1" ht="17.25" thickBot="1" x14ac:dyDescent="0.25">
      <c r="A386" s="142"/>
      <c r="B386" s="143">
        <f>SUM(B387:B414)</f>
        <v>3</v>
      </c>
      <c r="C386" s="158"/>
      <c r="D386" s="221" t="s">
        <v>321</v>
      </c>
      <c r="E386" s="221"/>
      <c r="F386" s="221"/>
      <c r="G386" s="221"/>
      <c r="H386" s="221"/>
      <c r="I386" s="221"/>
      <c r="J386" s="221"/>
      <c r="K386" s="221"/>
      <c r="L386" s="221"/>
      <c r="M386" s="221"/>
      <c r="N386" s="221"/>
      <c r="O386" s="221"/>
      <c r="P386" s="221"/>
      <c r="Q386" s="221"/>
      <c r="R386" s="221"/>
      <c r="S386" s="221"/>
      <c r="T386" s="221"/>
      <c r="U386" s="221"/>
      <c r="V386" s="221"/>
      <c r="W386" s="222"/>
    </row>
    <row r="387" spans="1:23" ht="10.5" hidden="1" customHeight="1" x14ac:dyDescent="0.2">
      <c r="A387" s="11"/>
      <c r="B387" s="149">
        <f>COUNTA(Spieltag!K374:AA374)</f>
        <v>0</v>
      </c>
      <c r="C387" s="166">
        <f>Spieltag!A374</f>
        <v>1</v>
      </c>
      <c r="D387" s="21" t="str">
        <f>Spieltag!B374</f>
        <v>Jiri Pavlenka (A)</v>
      </c>
      <c r="E387" s="12" t="str">
        <f>Spieltag!C374</f>
        <v>Torwart</v>
      </c>
      <c r="F387" s="13" t="s">
        <v>320</v>
      </c>
      <c r="G387" s="14"/>
      <c r="H387" s="15">
        <f>IF(G387="x",10,0)</f>
        <v>0</v>
      </c>
      <c r="I387" s="14"/>
      <c r="J387" s="15">
        <f>IF((I387="x"),-10,0)</f>
        <v>0</v>
      </c>
      <c r="K387" s="14"/>
      <c r="L387" s="15">
        <f>IF((K387="x"),-20,0)</f>
        <v>0</v>
      </c>
      <c r="M387" s="14"/>
      <c r="N387" s="15">
        <f>IF((M387="x"),-30,0)</f>
        <v>0</v>
      </c>
      <c r="O387" s="16">
        <f>IF(AND($P$4&gt;$Q$4),20,IF($P$4=$Q$4,10,0))</f>
        <v>20</v>
      </c>
      <c r="P387" s="16">
        <f>IF(($P$4&lt;&gt;0),$P$4*10,-5)</f>
        <v>40</v>
      </c>
      <c r="Q387" s="16">
        <f>IF(($Q$4&lt;&gt;0),$Q$4*-10,20)</f>
        <v>-10</v>
      </c>
      <c r="R387" s="14"/>
      <c r="S387" s="15">
        <f>R387*20</f>
        <v>0</v>
      </c>
      <c r="T387" s="14"/>
      <c r="U387" s="15">
        <f>T387*-15</f>
        <v>0</v>
      </c>
      <c r="V387" s="16">
        <f>IF(AND(R387=2),10,IF(R387=3,30,IF(R387=4,50,IF(R387=5,70,0))))</f>
        <v>0</v>
      </c>
      <c r="W387" s="17">
        <f>IF(G387="x",H387+J387+L387+N387+O387+P387+Q387+S387+U387+V387,0)</f>
        <v>0</v>
      </c>
    </row>
    <row r="388" spans="1:23" ht="10.5" hidden="1" customHeight="1" x14ac:dyDescent="0.2">
      <c r="A388" s="11"/>
      <c r="B388" s="149">
        <f>COUNTA(Spieltag!K375:AA375)</f>
        <v>0</v>
      </c>
      <c r="C388" s="166">
        <f>Spieltag!A375</f>
        <v>30</v>
      </c>
      <c r="D388" s="21" t="str">
        <f>Spieltag!B375</f>
        <v>Michael Zetterer</v>
      </c>
      <c r="E388" s="12" t="str">
        <f>Spieltag!C375</f>
        <v>Torwart</v>
      </c>
      <c r="F388" s="13" t="s">
        <v>320</v>
      </c>
      <c r="G388" s="14"/>
      <c r="H388" s="15">
        <f t="shared" ref="H388:H391" si="1196">IF(G388="x",10,0)</f>
        <v>0</v>
      </c>
      <c r="I388" s="14"/>
      <c r="J388" s="15">
        <f t="shared" ref="J388:J391" si="1197">IF((I388="x"),-10,0)</f>
        <v>0</v>
      </c>
      <c r="K388" s="14"/>
      <c r="L388" s="15">
        <f t="shared" ref="L388:L391" si="1198">IF((K388="x"),-20,0)</f>
        <v>0</v>
      </c>
      <c r="M388" s="14"/>
      <c r="N388" s="15">
        <f t="shared" ref="N388:N391" si="1199">IF((M388="x"),-30,0)</f>
        <v>0</v>
      </c>
      <c r="O388" s="16">
        <f t="shared" ref="O388:O390" si="1200">IF(AND($P$4&gt;$Q$4),20,IF($P$4=$Q$4,10,0))</f>
        <v>20</v>
      </c>
      <c r="P388" s="16">
        <f t="shared" ref="P388:P390" si="1201">IF(($P$4&lt;&gt;0),$P$4*10,-5)</f>
        <v>40</v>
      </c>
      <c r="Q388" s="16">
        <f t="shared" ref="Q388:Q390" si="1202">IF(($Q$4&lt;&gt;0),$Q$4*-10,20)</f>
        <v>-10</v>
      </c>
      <c r="R388" s="14"/>
      <c r="S388" s="15">
        <f t="shared" ref="S388:S390" si="1203">R388*20</f>
        <v>0</v>
      </c>
      <c r="T388" s="14"/>
      <c r="U388" s="15">
        <f t="shared" ref="U388:U391" si="1204">T388*-15</f>
        <v>0</v>
      </c>
      <c r="V388" s="16">
        <f t="shared" ref="V388:V391" si="1205">IF(AND(R388=2),10,IF(R388=3,30,IF(R388=4,50,IF(R388=5,70,0))))</f>
        <v>0</v>
      </c>
      <c r="W388" s="17">
        <f t="shared" ref="W388:W391" si="1206">IF(G388="x",H388+J388+L388+N388+O388+P388+Q388+S388+U388+V388,0)</f>
        <v>0</v>
      </c>
    </row>
    <row r="389" spans="1:23" ht="10.5" hidden="1" customHeight="1" x14ac:dyDescent="0.2">
      <c r="A389" s="11"/>
      <c r="B389" s="149">
        <f>COUNTA(Spieltag!K376:AA376)</f>
        <v>0</v>
      </c>
      <c r="C389" s="166">
        <f>Spieltag!A376</f>
        <v>37</v>
      </c>
      <c r="D389" s="21" t="str">
        <f>Spieltag!B376</f>
        <v>Spyros Angelidis (A)</v>
      </c>
      <c r="E389" s="12" t="str">
        <f>Spieltag!C376</f>
        <v>Torwart</v>
      </c>
      <c r="F389" s="13" t="s">
        <v>320</v>
      </c>
      <c r="G389" s="14"/>
      <c r="H389" s="15">
        <f t="shared" ref="H389" si="1207">IF(G389="x",10,0)</f>
        <v>0</v>
      </c>
      <c r="I389" s="14"/>
      <c r="J389" s="15">
        <f t="shared" ref="J389" si="1208">IF((I389="x"),-10,0)</f>
        <v>0</v>
      </c>
      <c r="K389" s="14"/>
      <c r="L389" s="15">
        <f t="shared" ref="L389" si="1209">IF((K389="x"),-20,0)</f>
        <v>0</v>
      </c>
      <c r="M389" s="14"/>
      <c r="N389" s="15">
        <f t="shared" ref="N389" si="1210">IF((M389="x"),-30,0)</f>
        <v>0</v>
      </c>
      <c r="O389" s="16">
        <f t="shared" si="1200"/>
        <v>20</v>
      </c>
      <c r="P389" s="16">
        <f t="shared" si="1201"/>
        <v>40</v>
      </c>
      <c r="Q389" s="16">
        <f t="shared" si="1202"/>
        <v>-10</v>
      </c>
      <c r="R389" s="14"/>
      <c r="S389" s="15">
        <f t="shared" ref="S389" si="1211">R389*20</f>
        <v>0</v>
      </c>
      <c r="T389" s="14"/>
      <c r="U389" s="15">
        <f t="shared" ref="U389" si="1212">T389*-15</f>
        <v>0</v>
      </c>
      <c r="V389" s="16">
        <f t="shared" ref="V389" si="1213">IF(AND(R389=2),10,IF(R389=3,30,IF(R389=4,50,IF(R389=5,70,0))))</f>
        <v>0</v>
      </c>
      <c r="W389" s="17">
        <f t="shared" ref="W389" si="1214">IF(G389="x",H389+J389+L389+N389+O389+P389+Q389+S389+U389+V389,0)</f>
        <v>0</v>
      </c>
    </row>
    <row r="390" spans="1:23" ht="10.5" hidden="1" customHeight="1" x14ac:dyDescent="0.2">
      <c r="A390" s="11"/>
      <c r="B390" s="149">
        <f>COUNTA(Spieltag!K377:AA377)</f>
        <v>0</v>
      </c>
      <c r="C390" s="166">
        <f>Spieltag!A377</f>
        <v>38</v>
      </c>
      <c r="D390" s="21" t="str">
        <f>Spieltag!B377</f>
        <v>Eduardo dos Santos Haesler</v>
      </c>
      <c r="E390" s="12" t="str">
        <f>Spieltag!C377</f>
        <v>Torwart</v>
      </c>
      <c r="F390" s="13" t="s">
        <v>320</v>
      </c>
      <c r="G390" s="14"/>
      <c r="H390" s="15">
        <f t="shared" si="1196"/>
        <v>0</v>
      </c>
      <c r="I390" s="14"/>
      <c r="J390" s="15">
        <f t="shared" si="1197"/>
        <v>0</v>
      </c>
      <c r="K390" s="14"/>
      <c r="L390" s="15">
        <f t="shared" si="1198"/>
        <v>0</v>
      </c>
      <c r="M390" s="14"/>
      <c r="N390" s="15">
        <f t="shared" si="1199"/>
        <v>0</v>
      </c>
      <c r="O390" s="16">
        <f t="shared" si="1200"/>
        <v>20</v>
      </c>
      <c r="P390" s="16">
        <f t="shared" si="1201"/>
        <v>40</v>
      </c>
      <c r="Q390" s="16">
        <f t="shared" si="1202"/>
        <v>-10</v>
      </c>
      <c r="R390" s="14"/>
      <c r="S390" s="15">
        <f t="shared" si="1203"/>
        <v>0</v>
      </c>
      <c r="T390" s="14"/>
      <c r="U390" s="15">
        <f t="shared" si="1204"/>
        <v>0</v>
      </c>
      <c r="V390" s="16">
        <f t="shared" si="1205"/>
        <v>0</v>
      </c>
      <c r="W390" s="17">
        <f t="shared" si="1206"/>
        <v>0</v>
      </c>
    </row>
    <row r="391" spans="1:23" ht="10.5" hidden="1" customHeight="1" x14ac:dyDescent="0.2">
      <c r="A391" s="11"/>
      <c r="B391" s="149">
        <f>COUNTA(Spieltag!K378:AA378)</f>
        <v>0</v>
      </c>
      <c r="C391" s="166">
        <f>Spieltag!A378</f>
        <v>2</v>
      </c>
      <c r="D391" s="21" t="str">
        <f>Spieltag!B378</f>
        <v>Olivier Deman (A)</v>
      </c>
      <c r="E391" s="12" t="str">
        <f>Spieltag!C378</f>
        <v>Abwehr</v>
      </c>
      <c r="F391" s="13" t="s">
        <v>320</v>
      </c>
      <c r="G391" s="14"/>
      <c r="H391" s="15">
        <f t="shared" si="1196"/>
        <v>0</v>
      </c>
      <c r="I391" s="14"/>
      <c r="J391" s="15">
        <f t="shared" si="1197"/>
        <v>0</v>
      </c>
      <c r="K391" s="14"/>
      <c r="L391" s="15">
        <f t="shared" si="1198"/>
        <v>0</v>
      </c>
      <c r="M391" s="14"/>
      <c r="N391" s="15">
        <f t="shared" si="1199"/>
        <v>0</v>
      </c>
      <c r="O391" s="16">
        <f t="shared" ref="O391:O401" si="1215">IF(AND($P$4&gt;$Q$4),20,IF($P$4=$Q$4,10,0))</f>
        <v>20</v>
      </c>
      <c r="P391" s="16">
        <f t="shared" ref="P391:P401" si="1216">IF(($P$4&lt;&gt;0),$P$4*10,-5)</f>
        <v>40</v>
      </c>
      <c r="Q391" s="16">
        <f t="shared" ref="Q391:Q401" si="1217">IF(($Q$4&lt;&gt;0),$Q$4*-10,15)</f>
        <v>-10</v>
      </c>
      <c r="R391" s="14"/>
      <c r="S391" s="15">
        <f t="shared" ref="S391" si="1218">R391*15</f>
        <v>0</v>
      </c>
      <c r="T391" s="14"/>
      <c r="U391" s="15">
        <f t="shared" si="1204"/>
        <v>0</v>
      </c>
      <c r="V391" s="16">
        <f t="shared" si="1205"/>
        <v>0</v>
      </c>
      <c r="W391" s="17">
        <f t="shared" si="1206"/>
        <v>0</v>
      </c>
    </row>
    <row r="392" spans="1:23" ht="10.5" hidden="1" customHeight="1" x14ac:dyDescent="0.2">
      <c r="A392" s="11"/>
      <c r="B392" s="149">
        <f>COUNTA(Spieltag!K379:AA379)</f>
        <v>0</v>
      </c>
      <c r="C392" s="166">
        <f>Spieltag!A379</f>
        <v>3</v>
      </c>
      <c r="D392" s="21" t="str">
        <f>Spieltag!B379</f>
        <v>Anthony Jung</v>
      </c>
      <c r="E392" s="12" t="str">
        <f>Spieltag!C379</f>
        <v>Abwehr</v>
      </c>
      <c r="F392" s="13" t="s">
        <v>320</v>
      </c>
      <c r="G392" s="14"/>
      <c r="H392" s="15">
        <f t="shared" ref="H392" si="1219">IF(G392="x",10,0)</f>
        <v>0</v>
      </c>
      <c r="I392" s="14"/>
      <c r="J392" s="15">
        <f t="shared" ref="J392" si="1220">IF((I392="x"),-10,0)</f>
        <v>0</v>
      </c>
      <c r="K392" s="14"/>
      <c r="L392" s="15">
        <f t="shared" ref="L392" si="1221">IF((K392="x"),-20,0)</f>
        <v>0</v>
      </c>
      <c r="M392" s="14"/>
      <c r="N392" s="15">
        <f t="shared" ref="N392" si="1222">IF((M392="x"),-30,0)</f>
        <v>0</v>
      </c>
      <c r="O392" s="16">
        <f t="shared" si="1215"/>
        <v>20</v>
      </c>
      <c r="P392" s="16">
        <f t="shared" si="1216"/>
        <v>40</v>
      </c>
      <c r="Q392" s="16">
        <f t="shared" si="1217"/>
        <v>-10</v>
      </c>
      <c r="R392" s="14"/>
      <c r="S392" s="15">
        <f t="shared" ref="S392" si="1223">R392*15</f>
        <v>0</v>
      </c>
      <c r="T392" s="14"/>
      <c r="U392" s="15">
        <f t="shared" ref="U392" si="1224">T392*-15</f>
        <v>0</v>
      </c>
      <c r="V392" s="16">
        <f t="shared" ref="V392" si="1225">IF(AND(R392=2),10,IF(R392=3,30,IF(R392=4,50,IF(R392=5,70,0))))</f>
        <v>0</v>
      </c>
      <c r="W392" s="17">
        <f t="shared" ref="W392" si="1226">IF(G392="x",H392+J392+L392+N392+O392+P392+Q392+S392+U392+V392,0)</f>
        <v>0</v>
      </c>
    </row>
    <row r="393" spans="1:23" ht="10.5" hidden="1" customHeight="1" x14ac:dyDescent="0.2">
      <c r="A393" s="11"/>
      <c r="B393" s="149">
        <f>COUNTA(Spieltag!K380:AA380)</f>
        <v>0</v>
      </c>
      <c r="C393" s="166">
        <f>Spieltag!A380</f>
        <v>4</v>
      </c>
      <c r="D393" s="21" t="str">
        <f>Spieltag!B380</f>
        <v>Niklas Stark</v>
      </c>
      <c r="E393" s="12" t="str">
        <f>Spieltag!C380</f>
        <v>Abwehr</v>
      </c>
      <c r="F393" s="13" t="s">
        <v>320</v>
      </c>
      <c r="G393" s="14"/>
      <c r="H393" s="15">
        <f t="shared" ref="H393:H401" si="1227">IF(G393="x",10,0)</f>
        <v>0</v>
      </c>
      <c r="I393" s="14"/>
      <c r="J393" s="15">
        <f t="shared" ref="J393:J401" si="1228">IF((I393="x"),-10,0)</f>
        <v>0</v>
      </c>
      <c r="K393" s="14"/>
      <c r="L393" s="15">
        <f t="shared" ref="L393:L401" si="1229">IF((K393="x"),-20,0)</f>
        <v>0</v>
      </c>
      <c r="M393" s="14"/>
      <c r="N393" s="15">
        <f t="shared" ref="N393:N401" si="1230">IF((M393="x"),-30,0)</f>
        <v>0</v>
      </c>
      <c r="O393" s="16">
        <f t="shared" si="1215"/>
        <v>20</v>
      </c>
      <c r="P393" s="16">
        <f t="shared" si="1216"/>
        <v>40</v>
      </c>
      <c r="Q393" s="16">
        <f t="shared" si="1217"/>
        <v>-10</v>
      </c>
      <c r="R393" s="14"/>
      <c r="S393" s="15">
        <f t="shared" ref="S393:S401" si="1231">R393*15</f>
        <v>0</v>
      </c>
      <c r="T393" s="14"/>
      <c r="U393" s="15">
        <f t="shared" ref="U393:U401" si="1232">T393*-15</f>
        <v>0</v>
      </c>
      <c r="V393" s="16">
        <f t="shared" ref="V393:V401" si="1233">IF(AND(R393=2),10,IF(R393=3,30,IF(R393=4,50,IF(R393=5,70,0))))</f>
        <v>0</v>
      </c>
      <c r="W393" s="17">
        <f t="shared" ref="W393:W401" si="1234">IF(G393="x",H393+J393+L393+N393+O393+P393+Q393+S393+U393+V393,0)</f>
        <v>0</v>
      </c>
    </row>
    <row r="394" spans="1:23" ht="10.5" hidden="1" customHeight="1" x14ac:dyDescent="0.2">
      <c r="A394" s="11"/>
      <c r="B394" s="149">
        <f>COUNTA(Spieltag!K381:AA381)</f>
        <v>0</v>
      </c>
      <c r="C394" s="166">
        <f>Spieltag!A381</f>
        <v>5</v>
      </c>
      <c r="D394" s="21" t="str">
        <f>Spieltag!B381</f>
        <v>Amos Pieper</v>
      </c>
      <c r="E394" s="12" t="str">
        <f>Spieltag!C381</f>
        <v>Abwehr</v>
      </c>
      <c r="F394" s="13" t="s">
        <v>320</v>
      </c>
      <c r="G394" s="14"/>
      <c r="H394" s="15">
        <f t="shared" si="1227"/>
        <v>0</v>
      </c>
      <c r="I394" s="14"/>
      <c r="J394" s="15">
        <f t="shared" si="1228"/>
        <v>0</v>
      </c>
      <c r="K394" s="14"/>
      <c r="L394" s="15">
        <f t="shared" si="1229"/>
        <v>0</v>
      </c>
      <c r="M394" s="14"/>
      <c r="N394" s="15">
        <f t="shared" si="1230"/>
        <v>0</v>
      </c>
      <c r="O394" s="16">
        <f t="shared" si="1215"/>
        <v>20</v>
      </c>
      <c r="P394" s="16">
        <f t="shared" si="1216"/>
        <v>40</v>
      </c>
      <c r="Q394" s="16">
        <f t="shared" si="1217"/>
        <v>-10</v>
      </c>
      <c r="R394" s="14"/>
      <c r="S394" s="15">
        <f t="shared" si="1231"/>
        <v>0</v>
      </c>
      <c r="T394" s="14"/>
      <c r="U394" s="15">
        <f t="shared" si="1232"/>
        <v>0</v>
      </c>
      <c r="V394" s="16">
        <f t="shared" si="1233"/>
        <v>0</v>
      </c>
      <c r="W394" s="17">
        <f t="shared" si="1234"/>
        <v>0</v>
      </c>
    </row>
    <row r="395" spans="1:23" ht="10.5" customHeight="1" x14ac:dyDescent="0.2">
      <c r="A395" s="11"/>
      <c r="B395" s="149">
        <f>COUNTA(Spieltag!K382:AA382)</f>
        <v>2</v>
      </c>
      <c r="C395" s="166">
        <f>Spieltag!A382</f>
        <v>8</v>
      </c>
      <c r="D395" s="21" t="str">
        <f>Spieltag!B382</f>
        <v>Mitchell Weiser</v>
      </c>
      <c r="E395" s="12" t="str">
        <f>Spieltag!C382</f>
        <v>Abwehr</v>
      </c>
      <c r="F395" s="13" t="s">
        <v>320</v>
      </c>
      <c r="G395" s="14" t="s">
        <v>676</v>
      </c>
      <c r="H395" s="15">
        <f t="shared" si="1227"/>
        <v>10</v>
      </c>
      <c r="I395" s="14"/>
      <c r="J395" s="15">
        <f t="shared" si="1228"/>
        <v>0</v>
      </c>
      <c r="K395" s="14"/>
      <c r="L395" s="15">
        <f t="shared" si="1229"/>
        <v>0</v>
      </c>
      <c r="M395" s="14"/>
      <c r="N395" s="15">
        <f t="shared" si="1230"/>
        <v>0</v>
      </c>
      <c r="O395" s="16">
        <f t="shared" si="1215"/>
        <v>20</v>
      </c>
      <c r="P395" s="16">
        <f t="shared" si="1216"/>
        <v>40</v>
      </c>
      <c r="Q395" s="16">
        <f t="shared" si="1217"/>
        <v>-10</v>
      </c>
      <c r="R395" s="14"/>
      <c r="S395" s="15">
        <f t="shared" si="1231"/>
        <v>0</v>
      </c>
      <c r="T395" s="14"/>
      <c r="U395" s="15">
        <f t="shared" si="1232"/>
        <v>0</v>
      </c>
      <c r="V395" s="16">
        <f t="shared" si="1233"/>
        <v>0</v>
      </c>
      <c r="W395" s="17">
        <f t="shared" si="1234"/>
        <v>60</v>
      </c>
    </row>
    <row r="396" spans="1:23" ht="10.5" hidden="1" customHeight="1" x14ac:dyDescent="0.2">
      <c r="A396" s="11"/>
      <c r="B396" s="149">
        <f>COUNTA(Spieltag!K383:AA383)</f>
        <v>0</v>
      </c>
      <c r="C396" s="166">
        <f>Spieltag!A383</f>
        <v>13</v>
      </c>
      <c r="D396" s="21" t="str">
        <f>Spieltag!B383</f>
        <v>Miloš Veljković (A)</v>
      </c>
      <c r="E396" s="12" t="str">
        <f>Spieltag!C383</f>
        <v>Abwehr</v>
      </c>
      <c r="F396" s="13" t="s">
        <v>320</v>
      </c>
      <c r="G396" s="14"/>
      <c r="H396" s="15">
        <f t="shared" si="1227"/>
        <v>0</v>
      </c>
      <c r="I396" s="14"/>
      <c r="J396" s="15">
        <f t="shared" si="1228"/>
        <v>0</v>
      </c>
      <c r="K396" s="14"/>
      <c r="L396" s="15">
        <f t="shared" si="1229"/>
        <v>0</v>
      </c>
      <c r="M396" s="14"/>
      <c r="N396" s="15">
        <f t="shared" si="1230"/>
        <v>0</v>
      </c>
      <c r="O396" s="16">
        <f t="shared" si="1215"/>
        <v>20</v>
      </c>
      <c r="P396" s="16">
        <f t="shared" si="1216"/>
        <v>40</v>
      </c>
      <c r="Q396" s="16">
        <f t="shared" si="1217"/>
        <v>-10</v>
      </c>
      <c r="R396" s="14"/>
      <c r="S396" s="15">
        <f t="shared" si="1231"/>
        <v>0</v>
      </c>
      <c r="T396" s="14"/>
      <c r="U396" s="15">
        <f t="shared" si="1232"/>
        <v>0</v>
      </c>
      <c r="V396" s="16">
        <f t="shared" si="1233"/>
        <v>0</v>
      </c>
      <c r="W396" s="17">
        <f t="shared" si="1234"/>
        <v>0</v>
      </c>
    </row>
    <row r="397" spans="1:23" ht="10.5" hidden="1" customHeight="1" x14ac:dyDescent="0.2">
      <c r="A397" s="11"/>
      <c r="B397" s="149">
        <f>COUNTA(Spieltag!K384:AA384)</f>
        <v>0</v>
      </c>
      <c r="C397" s="166">
        <f>Spieltag!A384</f>
        <v>22</v>
      </c>
      <c r="D397" s="21" t="str">
        <f>Spieltag!B384</f>
        <v>Julián Malatini (A)</v>
      </c>
      <c r="E397" s="12" t="str">
        <f>Spieltag!C384</f>
        <v>Abwehr</v>
      </c>
      <c r="F397" s="13" t="s">
        <v>320</v>
      </c>
      <c r="G397" s="14"/>
      <c r="H397" s="15">
        <f t="shared" ref="H397" si="1235">IF(G397="x",10,0)</f>
        <v>0</v>
      </c>
      <c r="I397" s="14"/>
      <c r="J397" s="15">
        <f t="shared" ref="J397" si="1236">IF((I397="x"),-10,0)</f>
        <v>0</v>
      </c>
      <c r="K397" s="14"/>
      <c r="L397" s="15">
        <f t="shared" ref="L397" si="1237">IF((K397="x"),-20,0)</f>
        <v>0</v>
      </c>
      <c r="M397" s="14"/>
      <c r="N397" s="15">
        <f t="shared" ref="N397" si="1238">IF((M397="x"),-30,0)</f>
        <v>0</v>
      </c>
      <c r="O397" s="16">
        <f t="shared" si="1215"/>
        <v>20</v>
      </c>
      <c r="P397" s="16">
        <f t="shared" si="1216"/>
        <v>40</v>
      </c>
      <c r="Q397" s="16">
        <f t="shared" si="1217"/>
        <v>-10</v>
      </c>
      <c r="R397" s="14"/>
      <c r="S397" s="15">
        <f t="shared" ref="S397" si="1239">R397*15</f>
        <v>0</v>
      </c>
      <c r="T397" s="14"/>
      <c r="U397" s="15">
        <f t="shared" ref="U397" si="1240">T397*-15</f>
        <v>0</v>
      </c>
      <c r="V397" s="16">
        <f t="shared" ref="V397" si="1241">IF(AND(R397=2),10,IF(R397=3,30,IF(R397=4,50,IF(R397=5,70,0))))</f>
        <v>0</v>
      </c>
      <c r="W397" s="17">
        <f t="shared" ref="W397" si="1242">IF(G397="x",H397+J397+L397+N397+O397+P397+Q397+S397+U397+V397,0)</f>
        <v>0</v>
      </c>
    </row>
    <row r="398" spans="1:23" ht="10.5" hidden="1" customHeight="1" x14ac:dyDescent="0.2">
      <c r="A398" s="11"/>
      <c r="B398" s="149">
        <f>COUNTA(Spieltag!K385:AA385)</f>
        <v>0</v>
      </c>
      <c r="C398" s="166">
        <f>Spieltag!A385</f>
        <v>27</v>
      </c>
      <c r="D398" s="21" t="str">
        <f>Spieltag!B385</f>
        <v>Felix Agu</v>
      </c>
      <c r="E398" s="12" t="str">
        <f>Spieltag!C385</f>
        <v>Abwehr</v>
      </c>
      <c r="F398" s="13" t="s">
        <v>320</v>
      </c>
      <c r="G398" s="14"/>
      <c r="H398" s="15">
        <f t="shared" si="1227"/>
        <v>0</v>
      </c>
      <c r="I398" s="14"/>
      <c r="J398" s="15">
        <f t="shared" si="1228"/>
        <v>0</v>
      </c>
      <c r="K398" s="14"/>
      <c r="L398" s="15">
        <f t="shared" si="1229"/>
        <v>0</v>
      </c>
      <c r="M398" s="14"/>
      <c r="N398" s="15">
        <f t="shared" si="1230"/>
        <v>0</v>
      </c>
      <c r="O398" s="16">
        <f t="shared" si="1215"/>
        <v>20</v>
      </c>
      <c r="P398" s="16">
        <f t="shared" si="1216"/>
        <v>40</v>
      </c>
      <c r="Q398" s="16">
        <f t="shared" si="1217"/>
        <v>-10</v>
      </c>
      <c r="R398" s="14"/>
      <c r="S398" s="15">
        <f t="shared" si="1231"/>
        <v>0</v>
      </c>
      <c r="T398" s="14"/>
      <c r="U398" s="15">
        <f t="shared" si="1232"/>
        <v>0</v>
      </c>
      <c r="V398" s="16">
        <f t="shared" si="1233"/>
        <v>0</v>
      </c>
      <c r="W398" s="17">
        <f t="shared" si="1234"/>
        <v>0</v>
      </c>
    </row>
    <row r="399" spans="1:23" ht="10.5" hidden="1" customHeight="1" x14ac:dyDescent="0.2">
      <c r="A399" s="11"/>
      <c r="B399" s="149">
        <f>COUNTA(Spieltag!K386:AA386)</f>
        <v>0</v>
      </c>
      <c r="C399" s="166">
        <f>Spieltag!A386</f>
        <v>32</v>
      </c>
      <c r="D399" s="21" t="str">
        <f>Spieltag!B386</f>
        <v>Marco Friedl (A)</v>
      </c>
      <c r="E399" s="12" t="str">
        <f>Spieltag!C386</f>
        <v>Abwehr</v>
      </c>
      <c r="F399" s="13" t="s">
        <v>320</v>
      </c>
      <c r="G399" s="14"/>
      <c r="H399" s="15">
        <f t="shared" si="1227"/>
        <v>0</v>
      </c>
      <c r="I399" s="14"/>
      <c r="J399" s="15">
        <f t="shared" si="1228"/>
        <v>0</v>
      </c>
      <c r="K399" s="14"/>
      <c r="L399" s="15">
        <f t="shared" si="1229"/>
        <v>0</v>
      </c>
      <c r="M399" s="14"/>
      <c r="N399" s="15">
        <f t="shared" si="1230"/>
        <v>0</v>
      </c>
      <c r="O399" s="16">
        <f t="shared" si="1215"/>
        <v>20</v>
      </c>
      <c r="P399" s="16">
        <f t="shared" si="1216"/>
        <v>40</v>
      </c>
      <c r="Q399" s="16">
        <f t="shared" si="1217"/>
        <v>-10</v>
      </c>
      <c r="R399" s="14"/>
      <c r="S399" s="15">
        <f t="shared" si="1231"/>
        <v>0</v>
      </c>
      <c r="T399" s="14"/>
      <c r="U399" s="15">
        <f t="shared" si="1232"/>
        <v>0</v>
      </c>
      <c r="V399" s="16">
        <f t="shared" si="1233"/>
        <v>0</v>
      </c>
      <c r="W399" s="17">
        <f t="shared" si="1234"/>
        <v>0</v>
      </c>
    </row>
    <row r="400" spans="1:23" ht="10.5" hidden="1" customHeight="1" x14ac:dyDescent="0.2">
      <c r="A400" s="11"/>
      <c r="B400" s="149">
        <f>COUNTA(Spieltag!K387:AA387)</f>
        <v>0</v>
      </c>
      <c r="C400" s="166">
        <f>Spieltag!A387</f>
        <v>36</v>
      </c>
      <c r="D400" s="21" t="str">
        <f>Spieltag!B387</f>
        <v>Christian Gross</v>
      </c>
      <c r="E400" s="12" t="str">
        <f>Spieltag!C387</f>
        <v>Abwehr</v>
      </c>
      <c r="F400" s="13" t="s">
        <v>320</v>
      </c>
      <c r="G400" s="14"/>
      <c r="H400" s="15">
        <f t="shared" ref="H400" si="1243">IF(G400="x",10,0)</f>
        <v>0</v>
      </c>
      <c r="I400" s="14"/>
      <c r="J400" s="15">
        <f t="shared" ref="J400" si="1244">IF((I400="x"),-10,0)</f>
        <v>0</v>
      </c>
      <c r="K400" s="14"/>
      <c r="L400" s="15">
        <f t="shared" ref="L400" si="1245">IF((K400="x"),-20,0)</f>
        <v>0</v>
      </c>
      <c r="M400" s="14"/>
      <c r="N400" s="15">
        <f t="shared" ref="N400" si="1246">IF((M400="x"),-30,0)</f>
        <v>0</v>
      </c>
      <c r="O400" s="16">
        <f t="shared" si="1215"/>
        <v>20</v>
      </c>
      <c r="P400" s="16">
        <f t="shared" si="1216"/>
        <v>40</v>
      </c>
      <c r="Q400" s="16">
        <f t="shared" si="1217"/>
        <v>-10</v>
      </c>
      <c r="R400" s="14"/>
      <c r="S400" s="15">
        <f t="shared" ref="S400" si="1247">R400*15</f>
        <v>0</v>
      </c>
      <c r="T400" s="14"/>
      <c r="U400" s="15">
        <f t="shared" ref="U400" si="1248">T400*-15</f>
        <v>0</v>
      </c>
      <c r="V400" s="16">
        <f t="shared" ref="V400" si="1249">IF(AND(R400=2),10,IF(R400=3,30,IF(R400=4,50,IF(R400=5,70,0))))</f>
        <v>0</v>
      </c>
      <c r="W400" s="17">
        <f t="shared" ref="W400" si="1250">IF(G400="x",H400+J400+L400+N400+O400+P400+Q400+S400+U400+V400,0)</f>
        <v>0</v>
      </c>
    </row>
    <row r="401" spans="1:23" ht="10.5" hidden="1" customHeight="1" x14ac:dyDescent="0.2">
      <c r="A401" s="11"/>
      <c r="B401" s="149">
        <f>COUNTA(Spieltag!K388:AA388)</f>
        <v>0</v>
      </c>
      <c r="C401" s="166">
        <f>Spieltag!A388</f>
        <v>40</v>
      </c>
      <c r="D401" s="21" t="str">
        <f>Spieltag!B388</f>
        <v>Cimo Röcker</v>
      </c>
      <c r="E401" s="12" t="str">
        <f>Spieltag!C388</f>
        <v>Abwehr</v>
      </c>
      <c r="F401" s="13" t="s">
        <v>320</v>
      </c>
      <c r="G401" s="14"/>
      <c r="H401" s="15">
        <f t="shared" si="1227"/>
        <v>0</v>
      </c>
      <c r="I401" s="14"/>
      <c r="J401" s="15">
        <f t="shared" si="1228"/>
        <v>0</v>
      </c>
      <c r="K401" s="14"/>
      <c r="L401" s="15">
        <f t="shared" si="1229"/>
        <v>0</v>
      </c>
      <c r="M401" s="14"/>
      <c r="N401" s="15">
        <f t="shared" si="1230"/>
        <v>0</v>
      </c>
      <c r="O401" s="16">
        <f t="shared" si="1215"/>
        <v>20</v>
      </c>
      <c r="P401" s="16">
        <f t="shared" si="1216"/>
        <v>40</v>
      </c>
      <c r="Q401" s="16">
        <f t="shared" si="1217"/>
        <v>-10</v>
      </c>
      <c r="R401" s="14"/>
      <c r="S401" s="15">
        <f t="shared" si="1231"/>
        <v>0</v>
      </c>
      <c r="T401" s="14"/>
      <c r="U401" s="15">
        <f t="shared" si="1232"/>
        <v>0</v>
      </c>
      <c r="V401" s="16">
        <f t="shared" si="1233"/>
        <v>0</v>
      </c>
      <c r="W401" s="17">
        <f t="shared" si="1234"/>
        <v>0</v>
      </c>
    </row>
    <row r="402" spans="1:23" ht="10.5" hidden="1" customHeight="1" x14ac:dyDescent="0.2">
      <c r="A402" s="11"/>
      <c r="B402" s="149">
        <f>COUNTA(Spieltag!K389:AA389)</f>
        <v>0</v>
      </c>
      <c r="C402" s="166">
        <f>Spieltag!A389</f>
        <v>6</v>
      </c>
      <c r="D402" s="21" t="str">
        <f>Spieltag!B389</f>
        <v>Jens Stage (A)</v>
      </c>
      <c r="E402" s="12" t="str">
        <f>Spieltag!C389</f>
        <v>Mittelfeld</v>
      </c>
      <c r="F402" s="13" t="s">
        <v>320</v>
      </c>
      <c r="G402" s="14"/>
      <c r="H402" s="15">
        <f>IF(G402="x",10,0)</f>
        <v>0</v>
      </c>
      <c r="I402" s="14"/>
      <c r="J402" s="15">
        <f>IF((I402="x"),-10,0)</f>
        <v>0</v>
      </c>
      <c r="K402" s="14"/>
      <c r="L402" s="15">
        <f>IF((K402="x"),-20,0)</f>
        <v>0</v>
      </c>
      <c r="M402" s="14"/>
      <c r="N402" s="15">
        <f>IF((M402="x"),-30,0)</f>
        <v>0</v>
      </c>
      <c r="O402" s="16">
        <f t="shared" ref="O402:O414" si="1251">IF(AND($P$4&gt;$Q$4),20,IF($P$4=$Q$4,10,0))</f>
        <v>20</v>
      </c>
      <c r="P402" s="16">
        <f t="shared" ref="P402:P414" si="1252">IF(($P$4&lt;&gt;0),$P$4*10,-5)</f>
        <v>40</v>
      </c>
      <c r="Q402" s="16">
        <f t="shared" ref="Q402:Q409" si="1253">IF(($Q$4&lt;&gt;0),$Q$4*-10,10)</f>
        <v>-10</v>
      </c>
      <c r="R402" s="14"/>
      <c r="S402" s="15">
        <f>R402*10</f>
        <v>0</v>
      </c>
      <c r="T402" s="14"/>
      <c r="U402" s="15">
        <f>T402*-15</f>
        <v>0</v>
      </c>
      <c r="V402" s="16">
        <f>IF(AND(R402=2),10,IF(R402=3,30,IF(R402=4,50,IF(R402=5,70,0))))</f>
        <v>0</v>
      </c>
      <c r="W402" s="17">
        <f>IF(G402="x",H402+J402+L402+N402+O402+P402+Q402+S402+U402+V402,0)</f>
        <v>0</v>
      </c>
    </row>
    <row r="403" spans="1:23" ht="10.5" hidden="1" customHeight="1" x14ac:dyDescent="0.2">
      <c r="A403" s="11"/>
      <c r="B403" s="149">
        <f>COUNTA(Spieltag!K390:AA390)</f>
        <v>0</v>
      </c>
      <c r="C403" s="166">
        <f>Spieltag!A390</f>
        <v>10</v>
      </c>
      <c r="D403" s="21" t="str">
        <f>Spieltag!B390</f>
        <v>Leonardo Bittencourt</v>
      </c>
      <c r="E403" s="12" t="str">
        <f>Spieltag!C390</f>
        <v>Mittelfeld</v>
      </c>
      <c r="F403" s="13" t="s">
        <v>320</v>
      </c>
      <c r="G403" s="14"/>
      <c r="H403" s="15">
        <f t="shared" ref="H403:H409" si="1254">IF(G403="x",10,0)</f>
        <v>0</v>
      </c>
      <c r="I403" s="14"/>
      <c r="J403" s="15">
        <f t="shared" ref="J403:J409" si="1255">IF((I403="x"),-10,0)</f>
        <v>0</v>
      </c>
      <c r="K403" s="14"/>
      <c r="L403" s="15">
        <f t="shared" ref="L403:L409" si="1256">IF((K403="x"),-20,0)</f>
        <v>0</v>
      </c>
      <c r="M403" s="14"/>
      <c r="N403" s="15">
        <f t="shared" ref="N403:N409" si="1257">IF((M403="x"),-30,0)</f>
        <v>0</v>
      </c>
      <c r="O403" s="16">
        <f t="shared" si="1251"/>
        <v>20</v>
      </c>
      <c r="P403" s="16">
        <f t="shared" si="1252"/>
        <v>40</v>
      </c>
      <c r="Q403" s="16">
        <f t="shared" si="1253"/>
        <v>-10</v>
      </c>
      <c r="R403" s="14"/>
      <c r="S403" s="15">
        <f t="shared" ref="S403:S409" si="1258">R403*10</f>
        <v>0</v>
      </c>
      <c r="T403" s="14"/>
      <c r="U403" s="15">
        <f t="shared" ref="U403:U409" si="1259">T403*-15</f>
        <v>0</v>
      </c>
      <c r="V403" s="16">
        <f t="shared" ref="V403:V409" si="1260">IF(AND(R403=2),10,IF(R403=3,30,IF(R403=4,50,IF(R403=5,70,0))))</f>
        <v>0</v>
      </c>
      <c r="W403" s="17">
        <f t="shared" ref="W403:W409" si="1261">IF(G403="x",H403+J403+L403+N403+O403+P403+Q403+S403+U403+V403,0)</f>
        <v>0</v>
      </c>
    </row>
    <row r="404" spans="1:23" ht="10.5" hidden="1" customHeight="1" x14ac:dyDescent="0.2">
      <c r="A404" s="11"/>
      <c r="B404" s="149">
        <f>COUNTA(Spieltag!K391:AA391)</f>
        <v>0</v>
      </c>
      <c r="C404" s="166">
        <f>Spieltag!A391</f>
        <v>14</v>
      </c>
      <c r="D404" s="21" t="str">
        <f>Spieltag!B391</f>
        <v>Senne Lynen (A)</v>
      </c>
      <c r="E404" s="12" t="str">
        <f>Spieltag!C391</f>
        <v>Mittelfeld</v>
      </c>
      <c r="F404" s="13" t="s">
        <v>320</v>
      </c>
      <c r="G404" s="14"/>
      <c r="H404" s="15">
        <f t="shared" si="1254"/>
        <v>0</v>
      </c>
      <c r="I404" s="14"/>
      <c r="J404" s="15">
        <f t="shared" si="1255"/>
        <v>0</v>
      </c>
      <c r="K404" s="14"/>
      <c r="L404" s="15">
        <f t="shared" si="1256"/>
        <v>0</v>
      </c>
      <c r="M404" s="14"/>
      <c r="N404" s="15">
        <f t="shared" si="1257"/>
        <v>0</v>
      </c>
      <c r="O404" s="16">
        <f t="shared" si="1251"/>
        <v>20</v>
      </c>
      <c r="P404" s="16">
        <f t="shared" si="1252"/>
        <v>40</v>
      </c>
      <c r="Q404" s="16">
        <f t="shared" si="1253"/>
        <v>-10</v>
      </c>
      <c r="R404" s="14"/>
      <c r="S404" s="15">
        <f t="shared" si="1258"/>
        <v>0</v>
      </c>
      <c r="T404" s="14"/>
      <c r="U404" s="15">
        <f t="shared" si="1259"/>
        <v>0</v>
      </c>
      <c r="V404" s="16">
        <f t="shared" si="1260"/>
        <v>0</v>
      </c>
      <c r="W404" s="17">
        <f t="shared" si="1261"/>
        <v>0</v>
      </c>
    </row>
    <row r="405" spans="1:23" ht="10.5" hidden="1" customHeight="1" x14ac:dyDescent="0.2">
      <c r="A405" s="11"/>
      <c r="B405" s="149">
        <f>COUNTA(Spieltag!K392:AA392)</f>
        <v>0</v>
      </c>
      <c r="C405" s="166">
        <f>Spieltag!A392</f>
        <v>18</v>
      </c>
      <c r="D405" s="21" t="str">
        <f>Spieltag!B392</f>
        <v>Naby Keita (A)</v>
      </c>
      <c r="E405" s="12" t="str">
        <f>Spieltag!C392</f>
        <v>Mittelfeld</v>
      </c>
      <c r="F405" s="13" t="s">
        <v>320</v>
      </c>
      <c r="G405" s="14"/>
      <c r="H405" s="15">
        <f t="shared" si="1254"/>
        <v>0</v>
      </c>
      <c r="I405" s="14"/>
      <c r="J405" s="15">
        <f t="shared" si="1255"/>
        <v>0</v>
      </c>
      <c r="K405" s="14"/>
      <c r="L405" s="15">
        <f t="shared" si="1256"/>
        <v>0</v>
      </c>
      <c r="M405" s="14"/>
      <c r="N405" s="15">
        <f t="shared" si="1257"/>
        <v>0</v>
      </c>
      <c r="O405" s="16">
        <f t="shared" si="1251"/>
        <v>20</v>
      </c>
      <c r="P405" s="16">
        <f t="shared" si="1252"/>
        <v>40</v>
      </c>
      <c r="Q405" s="16">
        <f t="shared" si="1253"/>
        <v>-10</v>
      </c>
      <c r="R405" s="14"/>
      <c r="S405" s="15">
        <f t="shared" si="1258"/>
        <v>0</v>
      </c>
      <c r="T405" s="14"/>
      <c r="U405" s="15">
        <f t="shared" si="1259"/>
        <v>0</v>
      </c>
      <c r="V405" s="16">
        <f t="shared" si="1260"/>
        <v>0</v>
      </c>
      <c r="W405" s="17">
        <f t="shared" si="1261"/>
        <v>0</v>
      </c>
    </row>
    <row r="406" spans="1:23" ht="10.5" hidden="1" customHeight="1" x14ac:dyDescent="0.2">
      <c r="A406" s="11"/>
      <c r="B406" s="149">
        <f>COUNTA(Spieltag!K393:AA393)</f>
        <v>0</v>
      </c>
      <c r="C406" s="166">
        <f>Spieltag!A393</f>
        <v>20</v>
      </c>
      <c r="D406" s="21" t="str">
        <f>Spieltag!B393</f>
        <v>Romano Schmid (A)</v>
      </c>
      <c r="E406" s="12" t="str">
        <f>Spieltag!C393</f>
        <v>Mittelfeld</v>
      </c>
      <c r="F406" s="13" t="s">
        <v>320</v>
      </c>
      <c r="G406" s="14"/>
      <c r="H406" s="15">
        <f t="shared" si="1254"/>
        <v>0</v>
      </c>
      <c r="I406" s="14"/>
      <c r="J406" s="15">
        <f t="shared" si="1255"/>
        <v>0</v>
      </c>
      <c r="K406" s="14"/>
      <c r="L406" s="15">
        <f t="shared" si="1256"/>
        <v>0</v>
      </c>
      <c r="M406" s="14"/>
      <c r="N406" s="15">
        <f t="shared" si="1257"/>
        <v>0</v>
      </c>
      <c r="O406" s="16">
        <f t="shared" si="1251"/>
        <v>20</v>
      </c>
      <c r="P406" s="16">
        <f t="shared" si="1252"/>
        <v>40</v>
      </c>
      <c r="Q406" s="16">
        <f t="shared" si="1253"/>
        <v>-10</v>
      </c>
      <c r="R406" s="14"/>
      <c r="S406" s="15">
        <f t="shared" si="1258"/>
        <v>0</v>
      </c>
      <c r="T406" s="14"/>
      <c r="U406" s="15">
        <f t="shared" si="1259"/>
        <v>0</v>
      </c>
      <c r="V406" s="16">
        <f t="shared" si="1260"/>
        <v>0</v>
      </c>
      <c r="W406" s="17">
        <f t="shared" si="1261"/>
        <v>0</v>
      </c>
    </row>
    <row r="407" spans="1:23" ht="10.5" hidden="1" customHeight="1" x14ac:dyDescent="0.2">
      <c r="A407" s="11"/>
      <c r="B407" s="149">
        <f>COUNTA(Spieltag!K394:AA394)</f>
        <v>0</v>
      </c>
      <c r="C407" s="166">
        <f>Spieltag!A394</f>
        <v>21</v>
      </c>
      <c r="D407" s="21" t="str">
        <f>Spieltag!B394</f>
        <v>Isak Hansen-Aarøen (A)</v>
      </c>
      <c r="E407" s="12" t="str">
        <f>Spieltag!C394</f>
        <v>Mittelfeld</v>
      </c>
      <c r="F407" s="13" t="s">
        <v>320</v>
      </c>
      <c r="G407" s="14"/>
      <c r="H407" s="15">
        <f t="shared" si="1254"/>
        <v>0</v>
      </c>
      <c r="I407" s="14"/>
      <c r="J407" s="15">
        <f t="shared" si="1255"/>
        <v>0</v>
      </c>
      <c r="K407" s="14"/>
      <c r="L407" s="15">
        <f t="shared" si="1256"/>
        <v>0</v>
      </c>
      <c r="M407" s="14"/>
      <c r="N407" s="15">
        <f t="shared" si="1257"/>
        <v>0</v>
      </c>
      <c r="O407" s="16">
        <f t="shared" si="1251"/>
        <v>20</v>
      </c>
      <c r="P407" s="16">
        <f t="shared" si="1252"/>
        <v>40</v>
      </c>
      <c r="Q407" s="16">
        <f t="shared" si="1253"/>
        <v>-10</v>
      </c>
      <c r="R407" s="14"/>
      <c r="S407" s="15">
        <f t="shared" si="1258"/>
        <v>0</v>
      </c>
      <c r="T407" s="14"/>
      <c r="U407" s="15">
        <f t="shared" si="1259"/>
        <v>0</v>
      </c>
      <c r="V407" s="16">
        <f t="shared" si="1260"/>
        <v>0</v>
      </c>
      <c r="W407" s="17">
        <f t="shared" si="1261"/>
        <v>0</v>
      </c>
    </row>
    <row r="408" spans="1:23" ht="10.5" hidden="1" customHeight="1" x14ac:dyDescent="0.2">
      <c r="A408" s="11"/>
      <c r="B408" s="149">
        <f>COUNTA(Spieltag!K395:AA395)</f>
        <v>0</v>
      </c>
      <c r="C408" s="166">
        <f>Spieltag!A395</f>
        <v>28</v>
      </c>
      <c r="D408" s="21" t="str">
        <f>Spieltag!B395</f>
        <v>Skelly Alvero (A)</v>
      </c>
      <c r="E408" s="12" t="str">
        <f>Spieltag!C395</f>
        <v>Mittelfeld</v>
      </c>
      <c r="F408" s="13" t="s">
        <v>320</v>
      </c>
      <c r="G408" s="14"/>
      <c r="H408" s="15">
        <f t="shared" ref="H408" si="1262">IF(G408="x",10,0)</f>
        <v>0</v>
      </c>
      <c r="I408" s="14"/>
      <c r="J408" s="15">
        <f t="shared" ref="J408" si="1263">IF((I408="x"),-10,0)</f>
        <v>0</v>
      </c>
      <c r="K408" s="14"/>
      <c r="L408" s="15">
        <f t="shared" ref="L408" si="1264">IF((K408="x"),-20,0)</f>
        <v>0</v>
      </c>
      <c r="M408" s="14"/>
      <c r="N408" s="15">
        <f t="shared" ref="N408" si="1265">IF((M408="x"),-30,0)</f>
        <v>0</v>
      </c>
      <c r="O408" s="16">
        <f t="shared" si="1251"/>
        <v>20</v>
      </c>
      <c r="P408" s="16">
        <f t="shared" si="1252"/>
        <v>40</v>
      </c>
      <c r="Q408" s="16">
        <f t="shared" si="1253"/>
        <v>-10</v>
      </c>
      <c r="R408" s="14"/>
      <c r="S408" s="15">
        <f t="shared" ref="S408" si="1266">R408*10</f>
        <v>0</v>
      </c>
      <c r="T408" s="14"/>
      <c r="U408" s="15">
        <f t="shared" ref="U408" si="1267">T408*-15</f>
        <v>0</v>
      </c>
      <c r="V408" s="16">
        <f t="shared" ref="V408" si="1268">IF(AND(R408=2),10,IF(R408=3,30,IF(R408=4,50,IF(R408=5,70,0))))</f>
        <v>0</v>
      </c>
      <c r="W408" s="17">
        <f t="shared" ref="W408" si="1269">IF(G408="x",H408+J408+L408+N408+O408+P408+Q408+S408+U408+V408,0)</f>
        <v>0</v>
      </c>
    </row>
    <row r="409" spans="1:23" ht="10.5" hidden="1" customHeight="1" x14ac:dyDescent="0.2">
      <c r="A409" s="11"/>
      <c r="B409" s="149">
        <f>COUNTA(Spieltag!K396:AA396)</f>
        <v>0</v>
      </c>
      <c r="C409" s="166">
        <f>Spieltag!A396</f>
        <v>35</v>
      </c>
      <c r="D409" s="21" t="str">
        <f>Spieltag!B396</f>
        <v>Leon Opitz</v>
      </c>
      <c r="E409" s="12" t="str">
        <f>Spieltag!C396</f>
        <v>Mittelfeld</v>
      </c>
      <c r="F409" s="13" t="s">
        <v>320</v>
      </c>
      <c r="G409" s="14"/>
      <c r="H409" s="15">
        <f t="shared" si="1254"/>
        <v>0</v>
      </c>
      <c r="I409" s="14"/>
      <c r="J409" s="15">
        <f t="shared" si="1255"/>
        <v>0</v>
      </c>
      <c r="K409" s="14"/>
      <c r="L409" s="15">
        <f t="shared" si="1256"/>
        <v>0</v>
      </c>
      <c r="M409" s="14"/>
      <c r="N409" s="15">
        <f t="shared" si="1257"/>
        <v>0</v>
      </c>
      <c r="O409" s="16">
        <f t="shared" si="1251"/>
        <v>20</v>
      </c>
      <c r="P409" s="16">
        <f t="shared" si="1252"/>
        <v>40</v>
      </c>
      <c r="Q409" s="16">
        <f t="shared" si="1253"/>
        <v>-10</v>
      </c>
      <c r="R409" s="14"/>
      <c r="S409" s="15">
        <f t="shared" si="1258"/>
        <v>0</v>
      </c>
      <c r="T409" s="14"/>
      <c r="U409" s="15">
        <f t="shared" si="1259"/>
        <v>0</v>
      </c>
      <c r="V409" s="16">
        <f t="shared" si="1260"/>
        <v>0</v>
      </c>
      <c r="W409" s="17">
        <f t="shared" si="1261"/>
        <v>0</v>
      </c>
    </row>
    <row r="410" spans="1:23" ht="10.5" hidden="1" customHeight="1" x14ac:dyDescent="0.2">
      <c r="A410" s="11"/>
      <c r="B410" s="149">
        <f>COUNTA(Spieltag!K397:AA397)</f>
        <v>0</v>
      </c>
      <c r="C410" s="166">
        <f>Spieltag!A397</f>
        <v>7</v>
      </c>
      <c r="D410" s="21" t="str">
        <f>Spieltag!B397</f>
        <v>Marvin Ducksch</v>
      </c>
      <c r="E410" s="12" t="str">
        <f>Spieltag!C397</f>
        <v>Sturm</v>
      </c>
      <c r="F410" s="13" t="s">
        <v>320</v>
      </c>
      <c r="G410" s="14"/>
      <c r="H410" s="15">
        <f t="shared" ref="H410" si="1270">IF(G410="x",10,0)</f>
        <v>0</v>
      </c>
      <c r="I410" s="14"/>
      <c r="J410" s="15">
        <f t="shared" ref="J410" si="1271">IF((I410="x"),-10,0)</f>
        <v>0</v>
      </c>
      <c r="K410" s="14"/>
      <c r="L410" s="15">
        <f t="shared" ref="L410" si="1272">IF((K410="x"),-20,0)</f>
        <v>0</v>
      </c>
      <c r="M410" s="14"/>
      <c r="N410" s="15">
        <f t="shared" ref="N410" si="1273">IF((M410="x"),-30,0)</f>
        <v>0</v>
      </c>
      <c r="O410" s="16">
        <f t="shared" si="1251"/>
        <v>20</v>
      </c>
      <c r="P410" s="16">
        <f t="shared" si="1252"/>
        <v>40</v>
      </c>
      <c r="Q410" s="16">
        <f t="shared" ref="Q410:Q414" si="1274">IF(($Q$4&lt;&gt;0),$Q$4*-10,5)</f>
        <v>-10</v>
      </c>
      <c r="R410" s="14"/>
      <c r="S410" s="15">
        <f t="shared" ref="S410" si="1275">R410*10</f>
        <v>0</v>
      </c>
      <c r="T410" s="14"/>
      <c r="U410" s="15">
        <f t="shared" ref="U410" si="1276">T410*-15</f>
        <v>0</v>
      </c>
      <c r="V410" s="16">
        <f t="shared" ref="V410" si="1277">IF(AND(R410=2),10,IF(R410=3,30,IF(R410=4,50,IF(R410=5,70,0))))</f>
        <v>0</v>
      </c>
      <c r="W410" s="17">
        <f t="shared" ref="W410" si="1278">IF(G410="x",H410+J410+L410+N410+O410+P410+Q410+S410+U410+V410,0)</f>
        <v>0</v>
      </c>
    </row>
    <row r="411" spans="1:23" ht="10.5" hidden="1" customHeight="1" x14ac:dyDescent="0.2">
      <c r="A411" s="11"/>
      <c r="B411" s="149">
        <f>COUNTA(Spieltag!K398:AA398)</f>
        <v>0</v>
      </c>
      <c r="C411" s="166">
        <f>Spieltag!A398</f>
        <v>9</v>
      </c>
      <c r="D411" s="21" t="str">
        <f>Spieltag!B398</f>
        <v>Dawid Kownacki (A)</v>
      </c>
      <c r="E411" s="12" t="str">
        <f>Spieltag!C398</f>
        <v>Sturm</v>
      </c>
      <c r="F411" s="13" t="s">
        <v>320</v>
      </c>
      <c r="G411" s="14"/>
      <c r="H411" s="15">
        <f t="shared" ref="H411" si="1279">IF(G411="x",10,0)</f>
        <v>0</v>
      </c>
      <c r="I411" s="14"/>
      <c r="J411" s="15">
        <f t="shared" ref="J411" si="1280">IF((I411="x"),-10,0)</f>
        <v>0</v>
      </c>
      <c r="K411" s="14"/>
      <c r="L411" s="15">
        <f t="shared" ref="L411" si="1281">IF((K411="x"),-20,0)</f>
        <v>0</v>
      </c>
      <c r="M411" s="14"/>
      <c r="N411" s="15">
        <f t="shared" ref="N411" si="1282">IF((M411="x"),-30,0)</f>
        <v>0</v>
      </c>
      <c r="O411" s="16">
        <f t="shared" si="1251"/>
        <v>20</v>
      </c>
      <c r="P411" s="16">
        <f t="shared" si="1252"/>
        <v>40</v>
      </c>
      <c r="Q411" s="16">
        <f t="shared" si="1274"/>
        <v>-10</v>
      </c>
      <c r="R411" s="14"/>
      <c r="S411" s="15">
        <f t="shared" ref="S411" si="1283">R411*10</f>
        <v>0</v>
      </c>
      <c r="T411" s="14"/>
      <c r="U411" s="15">
        <f t="shared" ref="U411" si="1284">T411*-15</f>
        <v>0</v>
      </c>
      <c r="V411" s="16">
        <f t="shared" ref="V411" si="1285">IF(AND(R411=2),10,IF(R411=3,30,IF(R411=4,50,IF(R411=5,70,0))))</f>
        <v>0</v>
      </c>
      <c r="W411" s="17">
        <f t="shared" ref="W411" si="1286">IF(G411="x",H411+J411+L411+N411+O411+P411+Q411+S411+U411+V411,0)</f>
        <v>0</v>
      </c>
    </row>
    <row r="412" spans="1:23" ht="10.5" hidden="1" customHeight="1" x14ac:dyDescent="0.2">
      <c r="A412" s="11"/>
      <c r="B412" s="149">
        <f>COUNTA(Spieltag!K399:AA399)</f>
        <v>0</v>
      </c>
      <c r="C412" s="166">
        <f>Spieltag!A399</f>
        <v>17</v>
      </c>
      <c r="D412" s="21" t="str">
        <f>Spieltag!B399</f>
        <v>Justin Njinmah</v>
      </c>
      <c r="E412" s="12" t="str">
        <f>Spieltag!C399</f>
        <v>Sturm</v>
      </c>
      <c r="F412" s="13" t="s">
        <v>320</v>
      </c>
      <c r="G412" s="14"/>
      <c r="H412" s="15">
        <f t="shared" ref="H412:H414" si="1287">IF(G412="x",10,0)</f>
        <v>0</v>
      </c>
      <c r="I412" s="14"/>
      <c r="J412" s="15">
        <f t="shared" ref="J412:J414" si="1288">IF((I412="x"),-10,0)</f>
        <v>0</v>
      </c>
      <c r="K412" s="14"/>
      <c r="L412" s="15">
        <f t="shared" ref="L412:L414" si="1289">IF((K412="x"),-20,0)</f>
        <v>0</v>
      </c>
      <c r="M412" s="14"/>
      <c r="N412" s="15">
        <f t="shared" ref="N412:N414" si="1290">IF((M412="x"),-30,0)</f>
        <v>0</v>
      </c>
      <c r="O412" s="16">
        <f t="shared" si="1251"/>
        <v>20</v>
      </c>
      <c r="P412" s="16">
        <f t="shared" si="1252"/>
        <v>40</v>
      </c>
      <c r="Q412" s="16">
        <f t="shared" si="1274"/>
        <v>-10</v>
      </c>
      <c r="R412" s="14"/>
      <c r="S412" s="15">
        <f t="shared" ref="S412:S414" si="1291">R412*10</f>
        <v>0</v>
      </c>
      <c r="T412" s="14"/>
      <c r="U412" s="15">
        <f t="shared" ref="U412:U414" si="1292">T412*-15</f>
        <v>0</v>
      </c>
      <c r="V412" s="16">
        <f t="shared" ref="V412:V414" si="1293">IF(AND(R412=2),10,IF(R412=3,30,IF(R412=4,50,IF(R412=5,70,0))))</f>
        <v>0</v>
      </c>
      <c r="W412" s="17">
        <f t="shared" ref="W412:W414" si="1294">IF(G412="x",H412+J412+L412+N412+O412+P412+Q412+S412+U412+V412,0)</f>
        <v>0</v>
      </c>
    </row>
    <row r="413" spans="1:23" ht="10.5" hidden="1" customHeight="1" x14ac:dyDescent="0.2">
      <c r="A413" s="11"/>
      <c r="B413" s="149">
        <f>COUNTA(Spieltag!K400:AA400)</f>
        <v>0</v>
      </c>
      <c r="C413" s="166">
        <f>Spieltag!A400</f>
        <v>19</v>
      </c>
      <c r="D413" s="21" t="str">
        <f>Spieltag!B400</f>
        <v>Rafael Borré (A)</v>
      </c>
      <c r="E413" s="12" t="str">
        <f>Spieltag!C400</f>
        <v>Sturm</v>
      </c>
      <c r="F413" s="13" t="s">
        <v>320</v>
      </c>
      <c r="G413" s="14"/>
      <c r="H413" s="15">
        <f t="shared" si="1287"/>
        <v>0</v>
      </c>
      <c r="I413" s="14"/>
      <c r="J413" s="15">
        <f t="shared" si="1288"/>
        <v>0</v>
      </c>
      <c r="K413" s="14"/>
      <c r="L413" s="15">
        <f t="shared" si="1289"/>
        <v>0</v>
      </c>
      <c r="M413" s="14"/>
      <c r="N413" s="15">
        <f t="shared" si="1290"/>
        <v>0</v>
      </c>
      <c r="O413" s="16">
        <f t="shared" si="1251"/>
        <v>20</v>
      </c>
      <c r="P413" s="16">
        <f t="shared" si="1252"/>
        <v>40</v>
      </c>
      <c r="Q413" s="16">
        <f t="shared" si="1274"/>
        <v>-10</v>
      </c>
      <c r="R413" s="14"/>
      <c r="S413" s="15">
        <f t="shared" si="1291"/>
        <v>0</v>
      </c>
      <c r="T413" s="14"/>
      <c r="U413" s="15">
        <f t="shared" si="1292"/>
        <v>0</v>
      </c>
      <c r="V413" s="16">
        <f t="shared" si="1293"/>
        <v>0</v>
      </c>
      <c r="W413" s="17">
        <f t="shared" si="1294"/>
        <v>0</v>
      </c>
    </row>
    <row r="414" spans="1:23" ht="10.5" customHeight="1" x14ac:dyDescent="0.2">
      <c r="A414" s="11"/>
      <c r="B414" s="149">
        <f>COUNTA(Spieltag!K401:AA401)</f>
        <v>1</v>
      </c>
      <c r="C414" s="166">
        <f>Spieltag!A401</f>
        <v>29</v>
      </c>
      <c r="D414" s="21" t="str">
        <f>Spieltag!B401</f>
        <v>Nick Woltemade</v>
      </c>
      <c r="E414" s="12" t="str">
        <f>Spieltag!C401</f>
        <v>Sturm</v>
      </c>
      <c r="F414" s="13" t="s">
        <v>320</v>
      </c>
      <c r="G414" s="14" t="s">
        <v>676</v>
      </c>
      <c r="H414" s="15">
        <f t="shared" si="1287"/>
        <v>10</v>
      </c>
      <c r="I414" s="14"/>
      <c r="J414" s="15">
        <f t="shared" si="1288"/>
        <v>0</v>
      </c>
      <c r="K414" s="14"/>
      <c r="L414" s="15">
        <f t="shared" si="1289"/>
        <v>0</v>
      </c>
      <c r="M414" s="14"/>
      <c r="N414" s="15">
        <f t="shared" si="1290"/>
        <v>0</v>
      </c>
      <c r="O414" s="16">
        <f t="shared" si="1251"/>
        <v>20</v>
      </c>
      <c r="P414" s="16">
        <f t="shared" si="1252"/>
        <v>40</v>
      </c>
      <c r="Q414" s="16">
        <f t="shared" si="1274"/>
        <v>-10</v>
      </c>
      <c r="R414" s="14"/>
      <c r="S414" s="15">
        <f t="shared" si="1291"/>
        <v>0</v>
      </c>
      <c r="T414" s="14"/>
      <c r="U414" s="15">
        <f t="shared" si="1292"/>
        <v>0</v>
      </c>
      <c r="V414" s="16">
        <f t="shared" si="1293"/>
        <v>0</v>
      </c>
      <c r="W414" s="17">
        <f t="shared" si="1294"/>
        <v>60</v>
      </c>
    </row>
    <row r="415" spans="1:23" s="144" customFormat="1" ht="17.25" hidden="1" thickBot="1" x14ac:dyDescent="0.25">
      <c r="A415" s="142"/>
      <c r="B415" s="143">
        <f>SUM(B416:B444)</f>
        <v>0</v>
      </c>
      <c r="C415" s="158"/>
      <c r="D415" s="221" t="s">
        <v>259</v>
      </c>
      <c r="E415" s="221"/>
      <c r="F415" s="221"/>
      <c r="G415" s="221"/>
      <c r="H415" s="221"/>
      <c r="I415" s="221"/>
      <c r="J415" s="221"/>
      <c r="K415" s="221"/>
      <c r="L415" s="221"/>
      <c r="M415" s="221"/>
      <c r="N415" s="221"/>
      <c r="O415" s="221"/>
      <c r="P415" s="221"/>
      <c r="Q415" s="221"/>
      <c r="R415" s="221"/>
      <c r="S415" s="221"/>
      <c r="T415" s="221"/>
      <c r="U415" s="221"/>
      <c r="V415" s="221"/>
      <c r="W415" s="222"/>
    </row>
    <row r="416" spans="1:23" ht="10.5" hidden="1" customHeight="1" x14ac:dyDescent="0.2">
      <c r="A416" s="11"/>
      <c r="B416" s="149">
        <f>COUNTA(Spieltag!K403:AA403)</f>
        <v>0</v>
      </c>
      <c r="C416" s="166">
        <f>Spieltag!A403</f>
        <v>1</v>
      </c>
      <c r="D416" s="21" t="str">
        <f>Spieltag!B403</f>
        <v>Manuel Riemann</v>
      </c>
      <c r="E416" s="12" t="str">
        <f>Spieltag!C403</f>
        <v>Torwart</v>
      </c>
      <c r="F416" s="13" t="s">
        <v>315</v>
      </c>
      <c r="G416" s="14"/>
      <c r="H416" s="15">
        <f t="shared" ref="H416" si="1295">IF(G416="x",10,0)</f>
        <v>0</v>
      </c>
      <c r="I416" s="14"/>
      <c r="J416" s="15">
        <f t="shared" ref="J416" si="1296">IF((I416="x"),-10,0)</f>
        <v>0</v>
      </c>
      <c r="K416" s="14"/>
      <c r="L416" s="15">
        <f t="shared" ref="L416" si="1297">IF((K416="x"),-20,0)</f>
        <v>0</v>
      </c>
      <c r="M416" s="14"/>
      <c r="N416" s="15">
        <f t="shared" ref="N416" si="1298">IF((M416="x"),-30,0)</f>
        <v>0</v>
      </c>
      <c r="O416" s="16">
        <f t="shared" ref="O416:O431" si="1299">IF(AND($P$9&gt;$Q$9),20,IF($P$9=$Q$9,10,0))</f>
        <v>0</v>
      </c>
      <c r="P416" s="16">
        <f t="shared" ref="P416:P431" si="1300">IF(($P$9&lt;&gt;0),$P$9*10,-5)</f>
        <v>10</v>
      </c>
      <c r="Q416" s="16">
        <f>IF(($Q$9&lt;&gt;0),$Q$9*-10,20)</f>
        <v>-40</v>
      </c>
      <c r="R416" s="14"/>
      <c r="S416" s="15">
        <f>R416*20</f>
        <v>0</v>
      </c>
      <c r="T416" s="14"/>
      <c r="U416" s="15">
        <f t="shared" ref="U416" si="1301">T416*-15</f>
        <v>0</v>
      </c>
      <c r="V416" s="16">
        <f t="shared" ref="V416" si="1302">IF(AND(R416=2),10,IF(R416=3,30,IF(R416=4,50,IF(R416=5,70,0))))</f>
        <v>0</v>
      </c>
      <c r="W416" s="17">
        <f t="shared" ref="W416" si="1303">IF(G416="x",H416+J416+L416+N416+O416+P416+Q416+S416+U416+V416,0)</f>
        <v>0</v>
      </c>
    </row>
    <row r="417" spans="1:23" ht="10.5" hidden="1" customHeight="1" x14ac:dyDescent="0.2">
      <c r="A417" s="11"/>
      <c r="B417" s="149">
        <f>COUNTA(Spieltag!K404:AA404)</f>
        <v>0</v>
      </c>
      <c r="C417" s="166">
        <f>Spieltag!A404</f>
        <v>21</v>
      </c>
      <c r="D417" s="21" t="str">
        <f>Spieltag!B404</f>
        <v>Michael Esser</v>
      </c>
      <c r="E417" s="12" t="str">
        <f>Spieltag!C404</f>
        <v>Torwart</v>
      </c>
      <c r="F417" s="13" t="s">
        <v>315</v>
      </c>
      <c r="G417" s="14"/>
      <c r="H417" s="15">
        <f t="shared" ref="H417:H419" si="1304">IF(G417="x",10,0)</f>
        <v>0</v>
      </c>
      <c r="I417" s="14"/>
      <c r="J417" s="15">
        <f t="shared" ref="J417:J419" si="1305">IF((I417="x"),-10,0)</f>
        <v>0</v>
      </c>
      <c r="K417" s="14"/>
      <c r="L417" s="15">
        <f t="shared" ref="L417:L419" si="1306">IF((K417="x"),-20,0)</f>
        <v>0</v>
      </c>
      <c r="M417" s="14"/>
      <c r="N417" s="15">
        <f t="shared" ref="N417:N419" si="1307">IF((M417="x"),-30,0)</f>
        <v>0</v>
      </c>
      <c r="O417" s="16">
        <f t="shared" si="1299"/>
        <v>0</v>
      </c>
      <c r="P417" s="16">
        <f t="shared" si="1300"/>
        <v>10</v>
      </c>
      <c r="Q417" s="16">
        <f>IF(($Q$9&lt;&gt;0),$Q$9*-10,20)</f>
        <v>-40</v>
      </c>
      <c r="R417" s="14"/>
      <c r="S417" s="15">
        <f>R417*20</f>
        <v>0</v>
      </c>
      <c r="T417" s="14"/>
      <c r="U417" s="15">
        <f t="shared" ref="U417:U419" si="1308">T417*-15</f>
        <v>0</v>
      </c>
      <c r="V417" s="16">
        <f t="shared" ref="V417:V419" si="1309">IF(AND(R417=2),10,IF(R417=3,30,IF(R417=4,50,IF(R417=5,70,0))))</f>
        <v>0</v>
      </c>
      <c r="W417" s="17">
        <f t="shared" ref="W417:W419" si="1310">IF(G417="x",H417+J417+L417+N417+O417+P417+Q417+S417+U417+V417,0)</f>
        <v>0</v>
      </c>
    </row>
    <row r="418" spans="1:23" ht="10.5" hidden="1" customHeight="1" x14ac:dyDescent="0.2">
      <c r="A418" s="11"/>
      <c r="B418" s="149">
        <f>COUNTA(Spieltag!K405:AA405)</f>
        <v>0</v>
      </c>
      <c r="C418" s="166">
        <f>Spieltag!A405</f>
        <v>23</v>
      </c>
      <c r="D418" s="21" t="str">
        <f>Spieltag!B405</f>
        <v>Nicklas Thiede</v>
      </c>
      <c r="E418" s="12" t="str">
        <f>Spieltag!C405</f>
        <v>Torwart</v>
      </c>
      <c r="F418" s="13" t="s">
        <v>315</v>
      </c>
      <c r="G418" s="14"/>
      <c r="H418" s="15">
        <f t="shared" si="1304"/>
        <v>0</v>
      </c>
      <c r="I418" s="14"/>
      <c r="J418" s="15">
        <f t="shared" si="1305"/>
        <v>0</v>
      </c>
      <c r="K418" s="14"/>
      <c r="L418" s="15">
        <f t="shared" si="1306"/>
        <v>0</v>
      </c>
      <c r="M418" s="14"/>
      <c r="N418" s="15">
        <f t="shared" si="1307"/>
        <v>0</v>
      </c>
      <c r="O418" s="16">
        <f t="shared" si="1299"/>
        <v>0</v>
      </c>
      <c r="P418" s="16">
        <f t="shared" si="1300"/>
        <v>10</v>
      </c>
      <c r="Q418" s="16">
        <f>IF(($Q$9&lt;&gt;0),$Q$9*-10,20)</f>
        <v>-40</v>
      </c>
      <c r="R418" s="14"/>
      <c r="S418" s="15">
        <f>R418*20</f>
        <v>0</v>
      </c>
      <c r="T418" s="14"/>
      <c r="U418" s="15">
        <f t="shared" si="1308"/>
        <v>0</v>
      </c>
      <c r="V418" s="16">
        <f t="shared" si="1309"/>
        <v>0</v>
      </c>
      <c r="W418" s="17">
        <f t="shared" si="1310"/>
        <v>0</v>
      </c>
    </row>
    <row r="419" spans="1:23" ht="10.5" hidden="1" customHeight="1" x14ac:dyDescent="0.2">
      <c r="A419" s="11"/>
      <c r="B419" s="149">
        <f>COUNTA(Spieltag!K406:AA406)</f>
        <v>0</v>
      </c>
      <c r="C419" s="166">
        <f>Spieltag!A406</f>
        <v>26</v>
      </c>
      <c r="D419" s="21" t="str">
        <f>Spieltag!B406</f>
        <v>Andreas Luthe</v>
      </c>
      <c r="E419" s="12" t="str">
        <f>Spieltag!C406</f>
        <v>Torwart</v>
      </c>
      <c r="F419" s="13" t="s">
        <v>315</v>
      </c>
      <c r="G419" s="14"/>
      <c r="H419" s="15">
        <f t="shared" si="1304"/>
        <v>0</v>
      </c>
      <c r="I419" s="14"/>
      <c r="J419" s="15">
        <f t="shared" si="1305"/>
        <v>0</v>
      </c>
      <c r="K419" s="14"/>
      <c r="L419" s="15">
        <f t="shared" si="1306"/>
        <v>0</v>
      </c>
      <c r="M419" s="14"/>
      <c r="N419" s="15">
        <f t="shared" si="1307"/>
        <v>0</v>
      </c>
      <c r="O419" s="16">
        <f t="shared" si="1299"/>
        <v>0</v>
      </c>
      <c r="P419" s="16">
        <f t="shared" si="1300"/>
        <v>10</v>
      </c>
      <c r="Q419" s="16">
        <f>IF(($Q$9&lt;&gt;0),$Q$9*-10,20)</f>
        <v>-40</v>
      </c>
      <c r="R419" s="14"/>
      <c r="S419" s="15">
        <f>R419*20</f>
        <v>0</v>
      </c>
      <c r="T419" s="14"/>
      <c r="U419" s="15">
        <f t="shared" si="1308"/>
        <v>0</v>
      </c>
      <c r="V419" s="16">
        <f t="shared" si="1309"/>
        <v>0</v>
      </c>
      <c r="W419" s="17">
        <f t="shared" si="1310"/>
        <v>0</v>
      </c>
    </row>
    <row r="420" spans="1:23" ht="10.5" hidden="1" customHeight="1" x14ac:dyDescent="0.2">
      <c r="A420" s="11"/>
      <c r="B420" s="149">
        <f>COUNTA(Spieltag!K407:AA407)</f>
        <v>0</v>
      </c>
      <c r="C420" s="166">
        <f>Spieltag!A407</f>
        <v>2</v>
      </c>
      <c r="D420" s="21" t="str">
        <f>Spieltag!B407</f>
        <v>Cristian Gamboa (A)</v>
      </c>
      <c r="E420" s="12" t="str">
        <f>Spieltag!C407</f>
        <v>Abwehr</v>
      </c>
      <c r="F420" s="13" t="s">
        <v>315</v>
      </c>
      <c r="G420" s="14"/>
      <c r="H420" s="15">
        <f t="shared" ref="H420:H421" si="1311">IF(G420="x",10,0)</f>
        <v>0</v>
      </c>
      <c r="I420" s="14"/>
      <c r="J420" s="15">
        <f t="shared" ref="J420:J421" si="1312">IF((I420="x"),-10,0)</f>
        <v>0</v>
      </c>
      <c r="K420" s="14"/>
      <c r="L420" s="15">
        <f t="shared" ref="L420:L421" si="1313">IF((K420="x"),-20,0)</f>
        <v>0</v>
      </c>
      <c r="M420" s="14"/>
      <c r="N420" s="15">
        <f t="shared" ref="N420:N421" si="1314">IF((M420="x"),-30,0)</f>
        <v>0</v>
      </c>
      <c r="O420" s="16">
        <f t="shared" si="1299"/>
        <v>0</v>
      </c>
      <c r="P420" s="16">
        <f t="shared" si="1300"/>
        <v>10</v>
      </c>
      <c r="Q420" s="16">
        <f t="shared" ref="Q420:Q431" si="1315">IF(($Q$9&lt;&gt;0),$Q$9*-10,15)</f>
        <v>-40</v>
      </c>
      <c r="R420" s="14"/>
      <c r="S420" s="15">
        <f t="shared" ref="S420:S421" si="1316">R420*15</f>
        <v>0</v>
      </c>
      <c r="T420" s="14"/>
      <c r="U420" s="15">
        <f t="shared" ref="U420:U421" si="1317">T420*-15</f>
        <v>0</v>
      </c>
      <c r="V420" s="16">
        <f t="shared" ref="V420:V421" si="1318">IF(AND(R420=2),10,IF(R420=3,30,IF(R420=4,50,IF(R420=5,70,0))))</f>
        <v>0</v>
      </c>
      <c r="W420" s="17">
        <f t="shared" ref="W420:W421" si="1319">IF(G420="x",H420+J420+L420+N420+O420+P420+Q420+S420+U420+V420,0)</f>
        <v>0</v>
      </c>
    </row>
    <row r="421" spans="1:23" ht="10.5" hidden="1" customHeight="1" x14ac:dyDescent="0.2">
      <c r="A421" s="11"/>
      <c r="B421" s="149">
        <f>COUNTA(Spieltag!K408:AA408)</f>
        <v>0</v>
      </c>
      <c r="C421" s="166">
        <f>Spieltag!A408</f>
        <v>3</v>
      </c>
      <c r="D421" s="21" t="str">
        <f>Spieltag!B408</f>
        <v>Danilo Soares (A)</v>
      </c>
      <c r="E421" s="12" t="str">
        <f>Spieltag!C408</f>
        <v>Abwehr</v>
      </c>
      <c r="F421" s="13" t="s">
        <v>315</v>
      </c>
      <c r="G421" s="14"/>
      <c r="H421" s="15">
        <f t="shared" si="1311"/>
        <v>0</v>
      </c>
      <c r="I421" s="14"/>
      <c r="J421" s="15">
        <f t="shared" si="1312"/>
        <v>0</v>
      </c>
      <c r="K421" s="14"/>
      <c r="L421" s="15">
        <f t="shared" si="1313"/>
        <v>0</v>
      </c>
      <c r="M421" s="14"/>
      <c r="N421" s="15">
        <f t="shared" si="1314"/>
        <v>0</v>
      </c>
      <c r="O421" s="16">
        <f t="shared" si="1299"/>
        <v>0</v>
      </c>
      <c r="P421" s="16">
        <f t="shared" si="1300"/>
        <v>10</v>
      </c>
      <c r="Q421" s="16">
        <f t="shared" si="1315"/>
        <v>-40</v>
      </c>
      <c r="R421" s="14"/>
      <c r="S421" s="15">
        <f t="shared" si="1316"/>
        <v>0</v>
      </c>
      <c r="T421" s="14"/>
      <c r="U421" s="15">
        <f t="shared" si="1317"/>
        <v>0</v>
      </c>
      <c r="V421" s="16">
        <f t="shared" si="1318"/>
        <v>0</v>
      </c>
      <c r="W421" s="17">
        <f t="shared" si="1319"/>
        <v>0</v>
      </c>
    </row>
    <row r="422" spans="1:23" ht="10.5" hidden="1" customHeight="1" x14ac:dyDescent="0.2">
      <c r="A422" s="11"/>
      <c r="B422" s="149">
        <f>COUNTA(Spieltag!K409:AA409)</f>
        <v>0</v>
      </c>
      <c r="C422" s="166">
        <f>Spieltag!A409</f>
        <v>4</v>
      </c>
      <c r="D422" s="21" t="str">
        <f>Spieltag!B409</f>
        <v>Erhan Mašović (A)</v>
      </c>
      <c r="E422" s="12" t="str">
        <f>Spieltag!C409</f>
        <v>Abwehr</v>
      </c>
      <c r="F422" s="13" t="s">
        <v>315</v>
      </c>
      <c r="G422" s="14"/>
      <c r="H422" s="15">
        <f t="shared" ref="H422:H427" si="1320">IF(G422="x",10,0)</f>
        <v>0</v>
      </c>
      <c r="I422" s="14"/>
      <c r="J422" s="15">
        <f t="shared" ref="J422:J427" si="1321">IF((I422="x"),-10,0)</f>
        <v>0</v>
      </c>
      <c r="K422" s="14"/>
      <c r="L422" s="15">
        <f t="shared" ref="L422:L427" si="1322">IF((K422="x"),-20,0)</f>
        <v>0</v>
      </c>
      <c r="M422" s="14"/>
      <c r="N422" s="15">
        <f t="shared" ref="N422:N427" si="1323">IF((M422="x"),-30,0)</f>
        <v>0</v>
      </c>
      <c r="O422" s="16">
        <f t="shared" si="1299"/>
        <v>0</v>
      </c>
      <c r="P422" s="16">
        <f t="shared" si="1300"/>
        <v>10</v>
      </c>
      <c r="Q422" s="16">
        <f t="shared" si="1315"/>
        <v>-40</v>
      </c>
      <c r="R422" s="14"/>
      <c r="S422" s="15">
        <f t="shared" ref="S422:S427" si="1324">R422*15</f>
        <v>0</v>
      </c>
      <c r="T422" s="14"/>
      <c r="U422" s="15">
        <f t="shared" ref="U422:U427" si="1325">T422*-15</f>
        <v>0</v>
      </c>
      <c r="V422" s="16">
        <f t="shared" ref="V422:V427" si="1326">IF(AND(R422=2),10,IF(R422=3,30,IF(R422=4,50,IF(R422=5,70,0))))</f>
        <v>0</v>
      </c>
      <c r="W422" s="17">
        <f t="shared" ref="W422:W427" si="1327">IF(G422="x",H422+J422+L422+N422+O422+P422+Q422+S422+U422+V422,0)</f>
        <v>0</v>
      </c>
    </row>
    <row r="423" spans="1:23" ht="10.5" hidden="1" customHeight="1" x14ac:dyDescent="0.2">
      <c r="A423" s="11"/>
      <c r="B423" s="149">
        <f>COUNTA(Spieltag!K410:AA410)</f>
        <v>0</v>
      </c>
      <c r="C423" s="166">
        <f>Spieltag!A410</f>
        <v>5</v>
      </c>
      <c r="D423" s="21" t="str">
        <f>Spieltag!B410</f>
        <v>Bernardo (A)</v>
      </c>
      <c r="E423" s="12" t="str">
        <f>Spieltag!C410</f>
        <v>Abwehr</v>
      </c>
      <c r="F423" s="13" t="s">
        <v>315</v>
      </c>
      <c r="G423" s="14"/>
      <c r="H423" s="15">
        <f t="shared" si="1320"/>
        <v>0</v>
      </c>
      <c r="I423" s="14"/>
      <c r="J423" s="15">
        <f t="shared" si="1321"/>
        <v>0</v>
      </c>
      <c r="K423" s="14"/>
      <c r="L423" s="15">
        <f t="shared" si="1322"/>
        <v>0</v>
      </c>
      <c r="M423" s="14"/>
      <c r="N423" s="15">
        <f t="shared" si="1323"/>
        <v>0</v>
      </c>
      <c r="O423" s="16">
        <f t="shared" si="1299"/>
        <v>0</v>
      </c>
      <c r="P423" s="16">
        <f t="shared" si="1300"/>
        <v>10</v>
      </c>
      <c r="Q423" s="16">
        <f t="shared" si="1315"/>
        <v>-40</v>
      </c>
      <c r="R423" s="14"/>
      <c r="S423" s="15">
        <f t="shared" si="1324"/>
        <v>0</v>
      </c>
      <c r="T423" s="14"/>
      <c r="U423" s="15">
        <f t="shared" si="1325"/>
        <v>0</v>
      </c>
      <c r="V423" s="16">
        <f t="shared" si="1326"/>
        <v>0</v>
      </c>
      <c r="W423" s="17">
        <f t="shared" si="1327"/>
        <v>0</v>
      </c>
    </row>
    <row r="424" spans="1:23" ht="10.5" hidden="1" customHeight="1" x14ac:dyDescent="0.2">
      <c r="A424" s="11"/>
      <c r="B424" s="149">
        <f>COUNTA(Spieltag!K411:AA411)</f>
        <v>0</v>
      </c>
      <c r="C424" s="166">
        <f>Spieltag!A411</f>
        <v>14</v>
      </c>
      <c r="D424" s="21" t="str">
        <f>Spieltag!B411</f>
        <v>Tim Oermann</v>
      </c>
      <c r="E424" s="12" t="str">
        <f>Spieltag!C411</f>
        <v>Abwehr</v>
      </c>
      <c r="F424" s="13" t="s">
        <v>315</v>
      </c>
      <c r="G424" s="14"/>
      <c r="H424" s="15">
        <f t="shared" ref="H424" si="1328">IF(G424="x",10,0)</f>
        <v>0</v>
      </c>
      <c r="I424" s="14"/>
      <c r="J424" s="15">
        <f t="shared" ref="J424" si="1329">IF((I424="x"),-10,0)</f>
        <v>0</v>
      </c>
      <c r="K424" s="14"/>
      <c r="L424" s="15">
        <f t="shared" ref="L424" si="1330">IF((K424="x"),-20,0)</f>
        <v>0</v>
      </c>
      <c r="M424" s="14"/>
      <c r="N424" s="15">
        <f t="shared" ref="N424" si="1331">IF((M424="x"),-30,0)</f>
        <v>0</v>
      </c>
      <c r="O424" s="16">
        <f t="shared" si="1299"/>
        <v>0</v>
      </c>
      <c r="P424" s="16">
        <f t="shared" si="1300"/>
        <v>10</v>
      </c>
      <c r="Q424" s="16">
        <f t="shared" si="1315"/>
        <v>-40</v>
      </c>
      <c r="R424" s="14"/>
      <c r="S424" s="15">
        <f t="shared" ref="S424" si="1332">R424*15</f>
        <v>0</v>
      </c>
      <c r="T424" s="14"/>
      <c r="U424" s="15">
        <f t="shared" ref="U424" si="1333">T424*-15</f>
        <v>0</v>
      </c>
      <c r="V424" s="16">
        <f t="shared" ref="V424" si="1334">IF(AND(R424=2),10,IF(R424=3,30,IF(R424=4,50,IF(R424=5,70,0))))</f>
        <v>0</v>
      </c>
      <c r="W424" s="17">
        <f t="shared" ref="W424" si="1335">IF(G424="x",H424+J424+L424+N424+O424+P424+Q424+S424+U424+V424,0)</f>
        <v>0</v>
      </c>
    </row>
    <row r="425" spans="1:23" ht="10.5" hidden="1" customHeight="1" x14ac:dyDescent="0.2">
      <c r="A425" s="11"/>
      <c r="B425" s="149">
        <f>COUNTA(Spieltag!K412:AA412)</f>
        <v>0</v>
      </c>
      <c r="C425" s="166">
        <f>Spieltag!A412</f>
        <v>15</v>
      </c>
      <c r="D425" s="21" t="str">
        <f>Spieltag!B412</f>
        <v>Felix Passlack</v>
      </c>
      <c r="E425" s="12" t="str">
        <f>Spieltag!C412</f>
        <v>Abwehr</v>
      </c>
      <c r="F425" s="13" t="s">
        <v>315</v>
      </c>
      <c r="G425" s="14"/>
      <c r="H425" s="15">
        <f t="shared" si="1320"/>
        <v>0</v>
      </c>
      <c r="I425" s="14"/>
      <c r="J425" s="15">
        <f t="shared" si="1321"/>
        <v>0</v>
      </c>
      <c r="K425" s="14"/>
      <c r="L425" s="15">
        <f t="shared" si="1322"/>
        <v>0</v>
      </c>
      <c r="M425" s="14"/>
      <c r="N425" s="15">
        <f t="shared" si="1323"/>
        <v>0</v>
      </c>
      <c r="O425" s="16">
        <f t="shared" si="1299"/>
        <v>0</v>
      </c>
      <c r="P425" s="16">
        <f t="shared" si="1300"/>
        <v>10</v>
      </c>
      <c r="Q425" s="16">
        <f t="shared" si="1315"/>
        <v>-40</v>
      </c>
      <c r="R425" s="14"/>
      <c r="S425" s="15">
        <f t="shared" si="1324"/>
        <v>0</v>
      </c>
      <c r="T425" s="14"/>
      <c r="U425" s="15">
        <f t="shared" si="1325"/>
        <v>0</v>
      </c>
      <c r="V425" s="16">
        <f t="shared" si="1326"/>
        <v>0</v>
      </c>
      <c r="W425" s="17">
        <f t="shared" si="1327"/>
        <v>0</v>
      </c>
    </row>
    <row r="426" spans="1:23" ht="10.5" hidden="1" customHeight="1" x14ac:dyDescent="0.2">
      <c r="A426" s="11"/>
      <c r="B426" s="149">
        <f>COUNTA(Spieltag!K413:AA413)</f>
        <v>0</v>
      </c>
      <c r="C426" s="166">
        <f>Spieltag!A413</f>
        <v>20</v>
      </c>
      <c r="D426" s="21" t="str">
        <f>Spieltag!B413</f>
        <v>Ivan Ordets (A)</v>
      </c>
      <c r="E426" s="12" t="str">
        <f>Spieltag!C413</f>
        <v>Abwehr</v>
      </c>
      <c r="F426" s="13" t="s">
        <v>315</v>
      </c>
      <c r="G426" s="14"/>
      <c r="H426" s="15">
        <f t="shared" si="1320"/>
        <v>0</v>
      </c>
      <c r="I426" s="14"/>
      <c r="J426" s="15">
        <f t="shared" si="1321"/>
        <v>0</v>
      </c>
      <c r="K426" s="14"/>
      <c r="L426" s="15">
        <f t="shared" si="1322"/>
        <v>0</v>
      </c>
      <c r="M426" s="14"/>
      <c r="N426" s="15">
        <f t="shared" si="1323"/>
        <v>0</v>
      </c>
      <c r="O426" s="16">
        <f t="shared" si="1299"/>
        <v>0</v>
      </c>
      <c r="P426" s="16">
        <f t="shared" si="1300"/>
        <v>10</v>
      </c>
      <c r="Q426" s="16">
        <f t="shared" si="1315"/>
        <v>-40</v>
      </c>
      <c r="R426" s="14"/>
      <c r="S426" s="15">
        <f t="shared" si="1324"/>
        <v>0</v>
      </c>
      <c r="T426" s="14"/>
      <c r="U426" s="15">
        <f t="shared" si="1325"/>
        <v>0</v>
      </c>
      <c r="V426" s="16">
        <f t="shared" si="1326"/>
        <v>0</v>
      </c>
      <c r="W426" s="17">
        <f t="shared" si="1327"/>
        <v>0</v>
      </c>
    </row>
    <row r="427" spans="1:23" ht="10.5" hidden="1" customHeight="1" x14ac:dyDescent="0.2">
      <c r="A427" s="11"/>
      <c r="B427" s="149">
        <f>COUNTA(Spieltag!K414:AA414)</f>
        <v>0</v>
      </c>
      <c r="C427" s="166">
        <f>Spieltag!A414</f>
        <v>25</v>
      </c>
      <c r="D427" s="21" t="str">
        <f>Spieltag!B414</f>
        <v>Mohammed Tolba</v>
      </c>
      <c r="E427" s="12" t="str">
        <f>Spieltag!C414</f>
        <v>Abwehr</v>
      </c>
      <c r="F427" s="13" t="s">
        <v>315</v>
      </c>
      <c r="G427" s="14"/>
      <c r="H427" s="15">
        <f t="shared" si="1320"/>
        <v>0</v>
      </c>
      <c r="I427" s="14"/>
      <c r="J427" s="15">
        <f t="shared" si="1321"/>
        <v>0</v>
      </c>
      <c r="K427" s="14"/>
      <c r="L427" s="15">
        <f t="shared" si="1322"/>
        <v>0</v>
      </c>
      <c r="M427" s="14"/>
      <c r="N427" s="15">
        <f t="shared" si="1323"/>
        <v>0</v>
      </c>
      <c r="O427" s="16">
        <f t="shared" si="1299"/>
        <v>0</v>
      </c>
      <c r="P427" s="16">
        <f t="shared" si="1300"/>
        <v>10</v>
      </c>
      <c r="Q427" s="16">
        <f t="shared" si="1315"/>
        <v>-40</v>
      </c>
      <c r="R427" s="14"/>
      <c r="S427" s="15">
        <f t="shared" si="1324"/>
        <v>0</v>
      </c>
      <c r="T427" s="14"/>
      <c r="U427" s="15">
        <f t="shared" si="1325"/>
        <v>0</v>
      </c>
      <c r="V427" s="16">
        <f t="shared" si="1326"/>
        <v>0</v>
      </c>
      <c r="W427" s="17">
        <f t="shared" si="1327"/>
        <v>0</v>
      </c>
    </row>
    <row r="428" spans="1:23" ht="10.5" hidden="1" customHeight="1" x14ac:dyDescent="0.2">
      <c r="A428" s="11"/>
      <c r="B428" s="149">
        <f>COUNTA(Spieltag!K415:AA415)</f>
        <v>0</v>
      </c>
      <c r="C428" s="166">
        <f>Spieltag!A415</f>
        <v>30</v>
      </c>
      <c r="D428" s="21" t="str">
        <f>Spieltag!B415</f>
        <v>Moritz Römling</v>
      </c>
      <c r="E428" s="12" t="str">
        <f>Spieltag!C415</f>
        <v>Abwehr</v>
      </c>
      <c r="F428" s="13" t="s">
        <v>315</v>
      </c>
      <c r="G428" s="14"/>
      <c r="H428" s="15">
        <f t="shared" ref="H428:H431" si="1336">IF(G428="x",10,0)</f>
        <v>0</v>
      </c>
      <c r="I428" s="14"/>
      <c r="J428" s="15">
        <f t="shared" ref="J428:J431" si="1337">IF((I428="x"),-10,0)</f>
        <v>0</v>
      </c>
      <c r="K428" s="14"/>
      <c r="L428" s="15">
        <f t="shared" ref="L428:L431" si="1338">IF((K428="x"),-20,0)</f>
        <v>0</v>
      </c>
      <c r="M428" s="14"/>
      <c r="N428" s="15">
        <f t="shared" ref="N428:N431" si="1339">IF((M428="x"),-30,0)</f>
        <v>0</v>
      </c>
      <c r="O428" s="16">
        <f t="shared" si="1299"/>
        <v>0</v>
      </c>
      <c r="P428" s="16">
        <f t="shared" si="1300"/>
        <v>10</v>
      </c>
      <c r="Q428" s="16">
        <f t="shared" si="1315"/>
        <v>-40</v>
      </c>
      <c r="R428" s="14"/>
      <c r="S428" s="15">
        <f t="shared" ref="S428:S431" si="1340">R428*15</f>
        <v>0</v>
      </c>
      <c r="T428" s="14"/>
      <c r="U428" s="15">
        <f t="shared" ref="U428:U431" si="1341">T428*-15</f>
        <v>0</v>
      </c>
      <c r="V428" s="16">
        <f t="shared" ref="V428:V431" si="1342">IF(AND(R428=2),10,IF(R428=3,30,IF(R428=4,50,IF(R428=5,70,0))))</f>
        <v>0</v>
      </c>
      <c r="W428" s="17">
        <f t="shared" ref="W428:W431" si="1343">IF(G428="x",H428+J428+L428+N428+O428+P428+Q428+S428+U428+V428,0)</f>
        <v>0</v>
      </c>
    </row>
    <row r="429" spans="1:23" ht="10.5" hidden="1" customHeight="1" x14ac:dyDescent="0.2">
      <c r="A429" s="11"/>
      <c r="B429" s="149">
        <f>COUNTA(Spieltag!K416:AA416)</f>
        <v>0</v>
      </c>
      <c r="C429" s="166">
        <f>Spieltag!A416</f>
        <v>31</v>
      </c>
      <c r="D429" s="21" t="str">
        <f>Spieltag!B416</f>
        <v>Keven Schlotterbeck</v>
      </c>
      <c r="E429" s="12" t="str">
        <f>Spieltag!C416</f>
        <v>Abwehr</v>
      </c>
      <c r="F429" s="13" t="s">
        <v>315</v>
      </c>
      <c r="G429" s="14"/>
      <c r="H429" s="15">
        <f>IF(G429="x",10,0)</f>
        <v>0</v>
      </c>
      <c r="I429" s="14"/>
      <c r="J429" s="15">
        <f>IF((I429="x"),-10,0)</f>
        <v>0</v>
      </c>
      <c r="K429" s="14"/>
      <c r="L429" s="15">
        <f>IF((K429="x"),-20,0)</f>
        <v>0</v>
      </c>
      <c r="M429" s="14"/>
      <c r="N429" s="15">
        <f>IF((M429="x"),-30,0)</f>
        <v>0</v>
      </c>
      <c r="O429" s="16">
        <f t="shared" si="1299"/>
        <v>0</v>
      </c>
      <c r="P429" s="16">
        <f t="shared" si="1300"/>
        <v>10</v>
      </c>
      <c r="Q429" s="16">
        <f t="shared" si="1315"/>
        <v>-40</v>
      </c>
      <c r="R429" s="14"/>
      <c r="S429" s="15">
        <f>R429*15</f>
        <v>0</v>
      </c>
      <c r="T429" s="14"/>
      <c r="U429" s="15">
        <f>T429*-15</f>
        <v>0</v>
      </c>
      <c r="V429" s="16">
        <f>IF(AND(R429=2),10,IF(R429=3,30,IF(R429=4,50,IF(R429=5,70,0))))</f>
        <v>0</v>
      </c>
      <c r="W429" s="17">
        <f>IF(G429="x",H429+J429+L429+N429+O429+P429+Q429+S429+U429+V429,0)</f>
        <v>0</v>
      </c>
    </row>
    <row r="430" spans="1:23" ht="10.5" hidden="1" customHeight="1" x14ac:dyDescent="0.2">
      <c r="A430" s="11"/>
      <c r="B430" s="149">
        <f>COUNTA(Spieltag!K417:AA417)</f>
        <v>0</v>
      </c>
      <c r="C430" s="166">
        <f>Spieltag!A417</f>
        <v>32</v>
      </c>
      <c r="D430" s="21" t="str">
        <f>Spieltag!B417</f>
        <v>Maximilian Wittek</v>
      </c>
      <c r="E430" s="12" t="str">
        <f>Spieltag!C417</f>
        <v>Abwehr</v>
      </c>
      <c r="F430" s="13" t="s">
        <v>315</v>
      </c>
      <c r="G430" s="14"/>
      <c r="H430" s="15">
        <f>IF(G430="x",10,0)</f>
        <v>0</v>
      </c>
      <c r="I430" s="14"/>
      <c r="J430" s="15">
        <f>IF((I430="x"),-10,0)</f>
        <v>0</v>
      </c>
      <c r="K430" s="14"/>
      <c r="L430" s="15">
        <f>IF((K430="x"),-20,0)</f>
        <v>0</v>
      </c>
      <c r="M430" s="14"/>
      <c r="N430" s="15">
        <f>IF((M430="x"),-30,0)</f>
        <v>0</v>
      </c>
      <c r="O430" s="16">
        <f t="shared" si="1299"/>
        <v>0</v>
      </c>
      <c r="P430" s="16">
        <f t="shared" si="1300"/>
        <v>10</v>
      </c>
      <c r="Q430" s="16">
        <f t="shared" si="1315"/>
        <v>-40</v>
      </c>
      <c r="R430" s="14"/>
      <c r="S430" s="15">
        <f>R430*15</f>
        <v>0</v>
      </c>
      <c r="T430" s="14"/>
      <c r="U430" s="15">
        <f>T430*-15</f>
        <v>0</v>
      </c>
      <c r="V430" s="16">
        <f>IF(AND(R430=2),10,IF(R430=3,30,IF(R430=4,50,IF(R430=5,70,0))))</f>
        <v>0</v>
      </c>
      <c r="W430" s="17">
        <f>IF(G430="x",H430+J430+L430+N430+O430+P430+Q430+S430+U430+V430,0)</f>
        <v>0</v>
      </c>
    </row>
    <row r="431" spans="1:23" ht="10.5" hidden="1" customHeight="1" x14ac:dyDescent="0.2">
      <c r="A431" s="11"/>
      <c r="B431" s="149">
        <f>COUNTA(Spieltag!K418:AA418)</f>
        <v>0</v>
      </c>
      <c r="C431" s="166">
        <f>Spieltag!A418</f>
        <v>41</v>
      </c>
      <c r="D431" s="21" t="str">
        <f>Spieltag!B418</f>
        <v>Noah Loosli (A)</v>
      </c>
      <c r="E431" s="12" t="str">
        <f>Spieltag!C418</f>
        <v>Abwehr</v>
      </c>
      <c r="F431" s="13" t="s">
        <v>315</v>
      </c>
      <c r="G431" s="14"/>
      <c r="H431" s="15">
        <f t="shared" si="1336"/>
        <v>0</v>
      </c>
      <c r="I431" s="14"/>
      <c r="J431" s="15">
        <f t="shared" si="1337"/>
        <v>0</v>
      </c>
      <c r="K431" s="14"/>
      <c r="L431" s="15">
        <f t="shared" si="1338"/>
        <v>0</v>
      </c>
      <c r="M431" s="14"/>
      <c r="N431" s="15">
        <f t="shared" si="1339"/>
        <v>0</v>
      </c>
      <c r="O431" s="16">
        <f t="shared" si="1299"/>
        <v>0</v>
      </c>
      <c r="P431" s="16">
        <f t="shared" si="1300"/>
        <v>10</v>
      </c>
      <c r="Q431" s="16">
        <f t="shared" si="1315"/>
        <v>-40</v>
      </c>
      <c r="R431" s="14"/>
      <c r="S431" s="15">
        <f t="shared" si="1340"/>
        <v>0</v>
      </c>
      <c r="T431" s="14"/>
      <c r="U431" s="15">
        <f t="shared" si="1341"/>
        <v>0</v>
      </c>
      <c r="V431" s="16">
        <f t="shared" si="1342"/>
        <v>0</v>
      </c>
      <c r="W431" s="17">
        <f t="shared" si="1343"/>
        <v>0</v>
      </c>
    </row>
    <row r="432" spans="1:23" ht="10.5" hidden="1" customHeight="1" x14ac:dyDescent="0.2">
      <c r="A432" s="11"/>
      <c r="B432" s="149">
        <f>COUNTA(Spieltag!K419:AA419)</f>
        <v>0</v>
      </c>
      <c r="C432" s="166">
        <f>Spieltag!A419</f>
        <v>6</v>
      </c>
      <c r="D432" s="21" t="str">
        <f>Spieltag!B419</f>
        <v>Patrick Osterhage</v>
      </c>
      <c r="E432" s="12" t="str">
        <f>Spieltag!C419</f>
        <v>Mittelfeld</v>
      </c>
      <c r="F432" s="13" t="s">
        <v>315</v>
      </c>
      <c r="G432" s="14"/>
      <c r="H432" s="15">
        <f t="shared" ref="H432" si="1344">IF(G432="x",10,0)</f>
        <v>0</v>
      </c>
      <c r="I432" s="14"/>
      <c r="J432" s="15">
        <f t="shared" ref="J432" si="1345">IF((I432="x"),-10,0)</f>
        <v>0</v>
      </c>
      <c r="K432" s="14"/>
      <c r="L432" s="15">
        <f t="shared" ref="L432" si="1346">IF((K432="x"),-20,0)</f>
        <v>0</v>
      </c>
      <c r="M432" s="14"/>
      <c r="N432" s="15">
        <f t="shared" ref="N432" si="1347">IF((M432="x"),-30,0)</f>
        <v>0</v>
      </c>
      <c r="O432" s="16">
        <f t="shared" ref="O432:O444" si="1348">IF(AND($P$9&gt;$Q$9),20,IF($P$9=$Q$9,10,0))</f>
        <v>0</v>
      </c>
      <c r="P432" s="16">
        <f t="shared" ref="P432:P444" si="1349">IF(($P$9&lt;&gt;0),$P$9*10,-5)</f>
        <v>10</v>
      </c>
      <c r="Q432" s="16">
        <f t="shared" ref="Q432:Q439" si="1350">IF(($Q$9&lt;&gt;0),$Q$9*-10,10)</f>
        <v>-40</v>
      </c>
      <c r="R432" s="14"/>
      <c r="S432" s="15">
        <f t="shared" ref="S432" si="1351">R432*10</f>
        <v>0</v>
      </c>
      <c r="T432" s="14"/>
      <c r="U432" s="15">
        <f t="shared" ref="U432" si="1352">T432*-15</f>
        <v>0</v>
      </c>
      <c r="V432" s="16">
        <f t="shared" ref="V432" si="1353">IF(AND(R432=2),10,IF(R432=3,30,IF(R432=4,50,IF(R432=5,70,0))))</f>
        <v>0</v>
      </c>
      <c r="W432" s="17">
        <f t="shared" ref="W432" si="1354">IF(G432="x",H432+J432+L432+N432+O432+P432+Q432+S432+U432+V432,0)</f>
        <v>0</v>
      </c>
    </row>
    <row r="433" spans="1:23" ht="10.5" hidden="1" customHeight="1" x14ac:dyDescent="0.2">
      <c r="A433" s="11"/>
      <c r="B433" s="149">
        <f>COUNTA(Spieltag!K420:AA420)</f>
        <v>0</v>
      </c>
      <c r="C433" s="166">
        <f>Spieltag!A420</f>
        <v>7</v>
      </c>
      <c r="D433" s="21" t="str">
        <f>Spieltag!B420</f>
        <v>Kevin Stöger (A)</v>
      </c>
      <c r="E433" s="12" t="str">
        <f>Spieltag!C420</f>
        <v>Mittelfeld</v>
      </c>
      <c r="F433" s="13" t="s">
        <v>315</v>
      </c>
      <c r="G433" s="14"/>
      <c r="H433" s="15">
        <f t="shared" ref="H433:H439" si="1355">IF(G433="x",10,0)</f>
        <v>0</v>
      </c>
      <c r="I433" s="14"/>
      <c r="J433" s="15">
        <f t="shared" ref="J433:J439" si="1356">IF((I433="x"),-10,0)</f>
        <v>0</v>
      </c>
      <c r="K433" s="14"/>
      <c r="L433" s="15">
        <f t="shared" ref="L433:L439" si="1357">IF((K433="x"),-20,0)</f>
        <v>0</v>
      </c>
      <c r="M433" s="14"/>
      <c r="N433" s="15">
        <f t="shared" ref="N433:N439" si="1358">IF((M433="x"),-30,0)</f>
        <v>0</v>
      </c>
      <c r="O433" s="16">
        <f t="shared" si="1348"/>
        <v>0</v>
      </c>
      <c r="P433" s="16">
        <f t="shared" si="1349"/>
        <v>10</v>
      </c>
      <c r="Q433" s="16">
        <f t="shared" si="1350"/>
        <v>-40</v>
      </c>
      <c r="R433" s="14"/>
      <c r="S433" s="15">
        <f t="shared" ref="S433:S439" si="1359">R433*10</f>
        <v>0</v>
      </c>
      <c r="T433" s="14"/>
      <c r="U433" s="15">
        <f t="shared" ref="U433:U439" si="1360">T433*-15</f>
        <v>0</v>
      </c>
      <c r="V433" s="16">
        <f t="shared" ref="V433:V439" si="1361">IF(AND(R433=2),10,IF(R433=3,30,IF(R433=4,50,IF(R433=5,70,0))))</f>
        <v>0</v>
      </c>
      <c r="W433" s="17">
        <f t="shared" ref="W433:W439" si="1362">IF(G433="x",H433+J433+L433+N433+O433+P433+Q433+S433+U433+V433,0)</f>
        <v>0</v>
      </c>
    </row>
    <row r="434" spans="1:23" ht="10.5" hidden="1" customHeight="1" x14ac:dyDescent="0.2">
      <c r="A434" s="11"/>
      <c r="B434" s="149">
        <f>COUNTA(Spieltag!K421:AA421)</f>
        <v>0</v>
      </c>
      <c r="C434" s="166">
        <f>Spieltag!A421</f>
        <v>8</v>
      </c>
      <c r="D434" s="21" t="str">
        <f>Spieltag!B421</f>
        <v>Anthony Losilia (A)</v>
      </c>
      <c r="E434" s="12" t="str">
        <f>Spieltag!C421</f>
        <v>Mittelfeld</v>
      </c>
      <c r="F434" s="13" t="s">
        <v>315</v>
      </c>
      <c r="G434" s="14"/>
      <c r="H434" s="15">
        <f t="shared" si="1355"/>
        <v>0</v>
      </c>
      <c r="I434" s="14"/>
      <c r="J434" s="15">
        <f t="shared" si="1356"/>
        <v>0</v>
      </c>
      <c r="K434" s="14"/>
      <c r="L434" s="15">
        <f t="shared" si="1357"/>
        <v>0</v>
      </c>
      <c r="M434" s="14"/>
      <c r="N434" s="15">
        <f t="shared" si="1358"/>
        <v>0</v>
      </c>
      <c r="O434" s="16">
        <f t="shared" si="1348"/>
        <v>0</v>
      </c>
      <c r="P434" s="16">
        <f t="shared" si="1349"/>
        <v>10</v>
      </c>
      <c r="Q434" s="16">
        <f t="shared" si="1350"/>
        <v>-40</v>
      </c>
      <c r="R434" s="14"/>
      <c r="S434" s="15">
        <f t="shared" si="1359"/>
        <v>0</v>
      </c>
      <c r="T434" s="14"/>
      <c r="U434" s="15">
        <f t="shared" si="1360"/>
        <v>0</v>
      </c>
      <c r="V434" s="16">
        <f t="shared" si="1361"/>
        <v>0</v>
      </c>
      <c r="W434" s="17">
        <f t="shared" si="1362"/>
        <v>0</v>
      </c>
    </row>
    <row r="435" spans="1:23" ht="10.5" hidden="1" customHeight="1" x14ac:dyDescent="0.2">
      <c r="A435" s="11"/>
      <c r="B435" s="149">
        <f>COUNTA(Spieltag!K422:AA422)</f>
        <v>0</v>
      </c>
      <c r="C435" s="166">
        <f>Spieltag!A422</f>
        <v>10</v>
      </c>
      <c r="D435" s="21" t="str">
        <f>Spieltag!B422</f>
        <v>Philipp Förster</v>
      </c>
      <c r="E435" s="12" t="str">
        <f>Spieltag!C422</f>
        <v>Mittelfeld</v>
      </c>
      <c r="F435" s="13" t="s">
        <v>315</v>
      </c>
      <c r="G435" s="14"/>
      <c r="H435" s="15">
        <f t="shared" si="1355"/>
        <v>0</v>
      </c>
      <c r="I435" s="14"/>
      <c r="J435" s="15">
        <f t="shared" si="1356"/>
        <v>0</v>
      </c>
      <c r="K435" s="14"/>
      <c r="L435" s="15">
        <f t="shared" si="1357"/>
        <v>0</v>
      </c>
      <c r="M435" s="14"/>
      <c r="N435" s="15">
        <f t="shared" si="1358"/>
        <v>0</v>
      </c>
      <c r="O435" s="16">
        <f t="shared" si="1348"/>
        <v>0</v>
      </c>
      <c r="P435" s="16">
        <f t="shared" si="1349"/>
        <v>10</v>
      </c>
      <c r="Q435" s="16">
        <f t="shared" si="1350"/>
        <v>-40</v>
      </c>
      <c r="R435" s="14"/>
      <c r="S435" s="15">
        <f t="shared" si="1359"/>
        <v>0</v>
      </c>
      <c r="T435" s="14"/>
      <c r="U435" s="15">
        <f t="shared" si="1360"/>
        <v>0</v>
      </c>
      <c r="V435" s="16">
        <f t="shared" si="1361"/>
        <v>0</v>
      </c>
      <c r="W435" s="17">
        <f t="shared" si="1362"/>
        <v>0</v>
      </c>
    </row>
    <row r="436" spans="1:23" ht="10.5" hidden="1" customHeight="1" x14ac:dyDescent="0.2">
      <c r="A436" s="11"/>
      <c r="B436" s="149">
        <f>COUNTA(Spieltag!K423:AA423)</f>
        <v>0</v>
      </c>
      <c r="C436" s="166">
        <f>Spieltag!A423</f>
        <v>13</v>
      </c>
      <c r="D436" s="21" t="str">
        <f>Spieltag!B423</f>
        <v>Lukas Daschner</v>
      </c>
      <c r="E436" s="12" t="str">
        <f>Spieltag!C423</f>
        <v>Mittelfeld</v>
      </c>
      <c r="F436" s="13" t="s">
        <v>315</v>
      </c>
      <c r="G436" s="14"/>
      <c r="H436" s="15">
        <f t="shared" si="1355"/>
        <v>0</v>
      </c>
      <c r="I436" s="14"/>
      <c r="J436" s="15">
        <f t="shared" si="1356"/>
        <v>0</v>
      </c>
      <c r="K436" s="14"/>
      <c r="L436" s="15">
        <f t="shared" si="1357"/>
        <v>0</v>
      </c>
      <c r="M436" s="14"/>
      <c r="N436" s="15">
        <f t="shared" si="1358"/>
        <v>0</v>
      </c>
      <c r="O436" s="16">
        <f t="shared" si="1348"/>
        <v>0</v>
      </c>
      <c r="P436" s="16">
        <f t="shared" si="1349"/>
        <v>10</v>
      </c>
      <c r="Q436" s="16">
        <f t="shared" si="1350"/>
        <v>-40</v>
      </c>
      <c r="R436" s="14"/>
      <c r="S436" s="15">
        <f t="shared" si="1359"/>
        <v>0</v>
      </c>
      <c r="T436" s="14"/>
      <c r="U436" s="15">
        <f t="shared" si="1360"/>
        <v>0</v>
      </c>
      <c r="V436" s="16">
        <f t="shared" si="1361"/>
        <v>0</v>
      </c>
      <c r="W436" s="17">
        <f t="shared" si="1362"/>
        <v>0</v>
      </c>
    </row>
    <row r="437" spans="1:23" ht="10.5" hidden="1" customHeight="1" x14ac:dyDescent="0.2">
      <c r="A437" s="11"/>
      <c r="B437" s="149">
        <f>COUNTA(Spieltag!K424:AA424)</f>
        <v>0</v>
      </c>
      <c r="C437" s="166">
        <f>Spieltag!A424</f>
        <v>17</v>
      </c>
      <c r="D437" s="21" t="str">
        <f>Spieltag!B424</f>
        <v>Agon Elezi (A)</v>
      </c>
      <c r="E437" s="12" t="str">
        <f>Spieltag!C424</f>
        <v>Mittelfeld</v>
      </c>
      <c r="F437" s="13" t="s">
        <v>315</v>
      </c>
      <c r="G437" s="14"/>
      <c r="H437" s="15">
        <f t="shared" ref="H437:H438" si="1363">IF(G437="x",10,0)</f>
        <v>0</v>
      </c>
      <c r="I437" s="14"/>
      <c r="J437" s="15">
        <f t="shared" ref="J437:J438" si="1364">IF((I437="x"),-10,0)</f>
        <v>0</v>
      </c>
      <c r="K437" s="14"/>
      <c r="L437" s="15">
        <f t="shared" ref="L437:L438" si="1365">IF((K437="x"),-20,0)</f>
        <v>0</v>
      </c>
      <c r="M437" s="14"/>
      <c r="N437" s="15">
        <f t="shared" ref="N437:N438" si="1366">IF((M437="x"),-30,0)</f>
        <v>0</v>
      </c>
      <c r="O437" s="16">
        <f t="shared" si="1348"/>
        <v>0</v>
      </c>
      <c r="P437" s="16">
        <f t="shared" si="1349"/>
        <v>10</v>
      </c>
      <c r="Q437" s="16">
        <f t="shared" si="1350"/>
        <v>-40</v>
      </c>
      <c r="R437" s="14"/>
      <c r="S437" s="15">
        <f t="shared" ref="S437:S438" si="1367">R437*10</f>
        <v>0</v>
      </c>
      <c r="T437" s="14"/>
      <c r="U437" s="15">
        <f t="shared" ref="U437:U438" si="1368">T437*-15</f>
        <v>0</v>
      </c>
      <c r="V437" s="16">
        <f t="shared" ref="V437:V438" si="1369">IF(AND(R437=2),10,IF(R437=3,30,IF(R437=4,50,IF(R437=5,70,0))))</f>
        <v>0</v>
      </c>
      <c r="W437" s="17">
        <f t="shared" ref="W437:W438" si="1370">IF(G437="x",H437+J437+L437+N437+O437+P437+Q437+S437+U437+V437,0)</f>
        <v>0</v>
      </c>
    </row>
    <row r="438" spans="1:23" ht="10.5" hidden="1" customHeight="1" x14ac:dyDescent="0.2">
      <c r="A438" s="11"/>
      <c r="B438" s="149">
        <f>COUNTA(Spieltag!K425:AA425)</f>
        <v>0</v>
      </c>
      <c r="C438" s="166">
        <f>Spieltag!A425</f>
        <v>19</v>
      </c>
      <c r="D438" s="21" t="str">
        <f>Spieltag!B425</f>
        <v>Matúš Bero (A)</v>
      </c>
      <c r="E438" s="12" t="str">
        <f>Spieltag!C425</f>
        <v>Mittelfeld</v>
      </c>
      <c r="F438" s="13" t="s">
        <v>315</v>
      </c>
      <c r="G438" s="14"/>
      <c r="H438" s="15">
        <f t="shared" si="1363"/>
        <v>0</v>
      </c>
      <c r="I438" s="14"/>
      <c r="J438" s="15">
        <f t="shared" si="1364"/>
        <v>0</v>
      </c>
      <c r="K438" s="14"/>
      <c r="L438" s="15">
        <f t="shared" si="1365"/>
        <v>0</v>
      </c>
      <c r="M438" s="14"/>
      <c r="N438" s="15">
        <f t="shared" si="1366"/>
        <v>0</v>
      </c>
      <c r="O438" s="16">
        <f t="shared" si="1348"/>
        <v>0</v>
      </c>
      <c r="P438" s="16">
        <f t="shared" si="1349"/>
        <v>10</v>
      </c>
      <c r="Q438" s="16">
        <f t="shared" si="1350"/>
        <v>-40</v>
      </c>
      <c r="R438" s="14"/>
      <c r="S438" s="15">
        <f t="shared" si="1367"/>
        <v>0</v>
      </c>
      <c r="T438" s="14"/>
      <c r="U438" s="15">
        <f t="shared" si="1368"/>
        <v>0</v>
      </c>
      <c r="V438" s="16">
        <f t="shared" si="1369"/>
        <v>0</v>
      </c>
      <c r="W438" s="17">
        <f t="shared" si="1370"/>
        <v>0</v>
      </c>
    </row>
    <row r="439" spans="1:23" ht="10.5" hidden="1" customHeight="1" x14ac:dyDescent="0.2">
      <c r="A439" s="11"/>
      <c r="B439" s="149">
        <f>COUNTA(Spieltag!K426:AA426)</f>
        <v>0</v>
      </c>
      <c r="C439" s="166">
        <f>Spieltag!A426</f>
        <v>27</v>
      </c>
      <c r="D439" s="21" t="str">
        <f>Spieltag!B426</f>
        <v>Moritz Kwarteng</v>
      </c>
      <c r="E439" s="12" t="str">
        <f>Spieltag!C426</f>
        <v>Mittelfeld</v>
      </c>
      <c r="F439" s="13" t="s">
        <v>315</v>
      </c>
      <c r="G439" s="14"/>
      <c r="H439" s="15">
        <f t="shared" si="1355"/>
        <v>0</v>
      </c>
      <c r="I439" s="14"/>
      <c r="J439" s="15">
        <f t="shared" si="1356"/>
        <v>0</v>
      </c>
      <c r="K439" s="14"/>
      <c r="L439" s="15">
        <f t="shared" si="1357"/>
        <v>0</v>
      </c>
      <c r="M439" s="14"/>
      <c r="N439" s="15">
        <f t="shared" si="1358"/>
        <v>0</v>
      </c>
      <c r="O439" s="16">
        <f t="shared" si="1348"/>
        <v>0</v>
      </c>
      <c r="P439" s="16">
        <f t="shared" si="1349"/>
        <v>10</v>
      </c>
      <c r="Q439" s="16">
        <f t="shared" si="1350"/>
        <v>-40</v>
      </c>
      <c r="R439" s="14"/>
      <c r="S439" s="15">
        <f t="shared" si="1359"/>
        <v>0</v>
      </c>
      <c r="T439" s="14"/>
      <c r="U439" s="15">
        <f t="shared" si="1360"/>
        <v>0</v>
      </c>
      <c r="V439" s="16">
        <f t="shared" si="1361"/>
        <v>0</v>
      </c>
      <c r="W439" s="17">
        <f t="shared" si="1362"/>
        <v>0</v>
      </c>
    </row>
    <row r="440" spans="1:23" ht="10.5" hidden="1" customHeight="1" x14ac:dyDescent="0.2">
      <c r="A440" s="11"/>
      <c r="B440" s="149">
        <f>COUNTA(Spieltag!K427:AA427)</f>
        <v>0</v>
      </c>
      <c r="C440" s="166">
        <f>Spieltag!A427</f>
        <v>9</v>
      </c>
      <c r="D440" s="21" t="str">
        <f>Spieltag!B427</f>
        <v>Gonçalo Paciênca (A)</v>
      </c>
      <c r="E440" s="12" t="str">
        <f>Spieltag!C427</f>
        <v>Sturm</v>
      </c>
      <c r="F440" s="13" t="s">
        <v>315</v>
      </c>
      <c r="G440" s="14"/>
      <c r="H440" s="15">
        <f>IF(G440="x",10,0)</f>
        <v>0</v>
      </c>
      <c r="I440" s="14"/>
      <c r="J440" s="15">
        <f>IF((I440="x"),-10,0)</f>
        <v>0</v>
      </c>
      <c r="K440" s="14"/>
      <c r="L440" s="15">
        <f>IF((K440="x"),-20,0)</f>
        <v>0</v>
      </c>
      <c r="M440" s="14"/>
      <c r="N440" s="15">
        <f>IF((M440="x"),-30,0)</f>
        <v>0</v>
      </c>
      <c r="O440" s="16">
        <f t="shared" si="1348"/>
        <v>0</v>
      </c>
      <c r="P440" s="16">
        <f t="shared" si="1349"/>
        <v>10</v>
      </c>
      <c r="Q440" s="16">
        <f>IF(($Q$9&lt;&gt;0),$Q$9*-10,5)</f>
        <v>-40</v>
      </c>
      <c r="R440" s="14"/>
      <c r="S440" s="15">
        <f>R440*10</f>
        <v>0</v>
      </c>
      <c r="T440" s="14"/>
      <c r="U440" s="15">
        <f>T440*-15</f>
        <v>0</v>
      </c>
      <c r="V440" s="16">
        <f>IF(AND(R440=2),10,IF(R440=3,30,IF(R440=4,50,IF(R440=5,70,0))))</f>
        <v>0</v>
      </c>
      <c r="W440" s="17">
        <f>IF(G440="x",H440+J440+L440+N440+O440+P440+Q440+S440+U440+V440,0)</f>
        <v>0</v>
      </c>
    </row>
    <row r="441" spans="1:23" ht="10.5" hidden="1" customHeight="1" x14ac:dyDescent="0.2">
      <c r="A441" s="11"/>
      <c r="B441" s="149">
        <f>COUNTA(Spieltag!K428:AA428)</f>
        <v>0</v>
      </c>
      <c r="C441" s="166">
        <f>Spieltag!A428</f>
        <v>11</v>
      </c>
      <c r="D441" s="21" t="str">
        <f>Spieltag!B428</f>
        <v>Takuma Asano (A)</v>
      </c>
      <c r="E441" s="12" t="str">
        <f>Spieltag!C428</f>
        <v>Sturm</v>
      </c>
      <c r="F441" s="13" t="s">
        <v>315</v>
      </c>
      <c r="G441" s="14"/>
      <c r="H441" s="15">
        <f t="shared" ref="H441:H444" si="1371">IF(G441="x",10,0)</f>
        <v>0</v>
      </c>
      <c r="I441" s="14"/>
      <c r="J441" s="15">
        <f t="shared" ref="J441:J444" si="1372">IF((I441="x"),-10,0)</f>
        <v>0</v>
      </c>
      <c r="K441" s="14"/>
      <c r="L441" s="15">
        <f t="shared" ref="L441:L444" si="1373">IF((K441="x"),-20,0)</f>
        <v>0</v>
      </c>
      <c r="M441" s="14"/>
      <c r="N441" s="15">
        <f t="shared" ref="N441:N444" si="1374">IF((M441="x"),-30,0)</f>
        <v>0</v>
      </c>
      <c r="O441" s="16">
        <f t="shared" si="1348"/>
        <v>0</v>
      </c>
      <c r="P441" s="16">
        <f t="shared" si="1349"/>
        <v>10</v>
      </c>
      <c r="Q441" s="16">
        <f t="shared" ref="Q441:Q444" si="1375">IF(($Q$9&lt;&gt;0),$Q$9*-10,5)</f>
        <v>-40</v>
      </c>
      <c r="R441" s="14"/>
      <c r="S441" s="15">
        <f t="shared" ref="S441:S444" si="1376">R441*10</f>
        <v>0</v>
      </c>
      <c r="T441" s="14"/>
      <c r="U441" s="15">
        <f t="shared" ref="U441:U444" si="1377">T441*-15</f>
        <v>0</v>
      </c>
      <c r="V441" s="16">
        <f t="shared" ref="V441:V444" si="1378">IF(AND(R441=2),10,IF(R441=3,30,IF(R441=4,50,IF(R441=5,70,0))))</f>
        <v>0</v>
      </c>
      <c r="W441" s="17">
        <f t="shared" ref="W441:W444" si="1379">IF(G441="x",H441+J441+L441+N441+O441+P441+Q441+S441+U441+V441,0)</f>
        <v>0</v>
      </c>
    </row>
    <row r="442" spans="1:23" ht="10.5" hidden="1" customHeight="1" x14ac:dyDescent="0.2">
      <c r="A442" s="11"/>
      <c r="B442" s="149">
        <f>COUNTA(Spieltag!K429:AA429)</f>
        <v>0</v>
      </c>
      <c r="C442" s="166">
        <f>Spieltag!A429</f>
        <v>22</v>
      </c>
      <c r="D442" s="21" t="str">
        <f>Spieltag!B429</f>
        <v>Christopher Antwi-Adjei</v>
      </c>
      <c r="E442" s="12" t="str">
        <f>Spieltag!C429</f>
        <v>Sturm</v>
      </c>
      <c r="F442" s="13" t="s">
        <v>315</v>
      </c>
      <c r="G442" s="14"/>
      <c r="H442" s="15">
        <f t="shared" ref="H442" si="1380">IF(G442="x",10,0)</f>
        <v>0</v>
      </c>
      <c r="I442" s="14"/>
      <c r="J442" s="15">
        <f t="shared" ref="J442" si="1381">IF((I442="x"),-10,0)</f>
        <v>0</v>
      </c>
      <c r="K442" s="14"/>
      <c r="L442" s="15">
        <f t="shared" ref="L442" si="1382">IF((K442="x"),-20,0)</f>
        <v>0</v>
      </c>
      <c r="M442" s="14"/>
      <c r="N442" s="15">
        <f t="shared" ref="N442" si="1383">IF((M442="x"),-30,0)</f>
        <v>0</v>
      </c>
      <c r="O442" s="16">
        <f t="shared" si="1348"/>
        <v>0</v>
      </c>
      <c r="P442" s="16">
        <f t="shared" si="1349"/>
        <v>10</v>
      </c>
      <c r="Q442" s="16">
        <f t="shared" si="1375"/>
        <v>-40</v>
      </c>
      <c r="R442" s="14"/>
      <c r="S442" s="15">
        <f t="shared" ref="S442" si="1384">R442*10</f>
        <v>0</v>
      </c>
      <c r="T442" s="14"/>
      <c r="U442" s="15">
        <f t="shared" ref="U442" si="1385">T442*-15</f>
        <v>0</v>
      </c>
      <c r="V442" s="16">
        <f t="shared" ref="V442" si="1386">IF(AND(R442=2),10,IF(R442=3,30,IF(R442=4,50,IF(R442=5,70,0))))</f>
        <v>0</v>
      </c>
      <c r="W442" s="17">
        <f t="shared" ref="W442" si="1387">IF(G442="x",H442+J442+L442+N442+O442+P442+Q442+S442+U442+V442,0)</f>
        <v>0</v>
      </c>
    </row>
    <row r="443" spans="1:23" ht="10.5" hidden="1" customHeight="1" x14ac:dyDescent="0.2">
      <c r="A443" s="11"/>
      <c r="B443" s="149">
        <f>COUNTA(Spieltag!K430:AA430)</f>
        <v>0</v>
      </c>
      <c r="C443" s="166">
        <f>Spieltag!A430</f>
        <v>29</v>
      </c>
      <c r="D443" s="21" t="str">
        <f>Spieltag!B430</f>
        <v>Moritz Broschinski</v>
      </c>
      <c r="E443" s="12" t="str">
        <f>Spieltag!C430</f>
        <v>Sturm</v>
      </c>
      <c r="F443" s="13" t="s">
        <v>315</v>
      </c>
      <c r="G443" s="14"/>
      <c r="H443" s="15">
        <f t="shared" si="1371"/>
        <v>0</v>
      </c>
      <c r="I443" s="14"/>
      <c r="J443" s="15">
        <f t="shared" si="1372"/>
        <v>0</v>
      </c>
      <c r="K443" s="14"/>
      <c r="L443" s="15">
        <f t="shared" si="1373"/>
        <v>0</v>
      </c>
      <c r="M443" s="14"/>
      <c r="N443" s="15">
        <f t="shared" si="1374"/>
        <v>0</v>
      </c>
      <c r="O443" s="16">
        <f t="shared" si="1348"/>
        <v>0</v>
      </c>
      <c r="P443" s="16">
        <f t="shared" si="1349"/>
        <v>10</v>
      </c>
      <c r="Q443" s="16">
        <f t="shared" si="1375"/>
        <v>-40</v>
      </c>
      <c r="R443" s="14"/>
      <c r="S443" s="15">
        <f t="shared" si="1376"/>
        <v>0</v>
      </c>
      <c r="T443" s="14"/>
      <c r="U443" s="15">
        <f t="shared" si="1377"/>
        <v>0</v>
      </c>
      <c r="V443" s="16">
        <f t="shared" si="1378"/>
        <v>0</v>
      </c>
      <c r="W443" s="17">
        <f t="shared" si="1379"/>
        <v>0</v>
      </c>
    </row>
    <row r="444" spans="1:23" ht="10.5" hidden="1" customHeight="1" x14ac:dyDescent="0.2">
      <c r="A444" s="11"/>
      <c r="B444" s="149">
        <f>COUNTA(Spieltag!K431:AA431)</f>
        <v>0</v>
      </c>
      <c r="C444" s="166">
        <f>Spieltag!A431</f>
        <v>33</v>
      </c>
      <c r="D444" s="21" t="str">
        <f>Spieltag!B431</f>
        <v>Philipp Hofmann</v>
      </c>
      <c r="E444" s="12" t="str">
        <f>Spieltag!C431</f>
        <v>Sturm</v>
      </c>
      <c r="F444" s="13" t="s">
        <v>315</v>
      </c>
      <c r="G444" s="14"/>
      <c r="H444" s="15">
        <f t="shared" si="1371"/>
        <v>0</v>
      </c>
      <c r="I444" s="14"/>
      <c r="J444" s="15">
        <f t="shared" si="1372"/>
        <v>0</v>
      </c>
      <c r="K444" s="14"/>
      <c r="L444" s="15">
        <f t="shared" si="1373"/>
        <v>0</v>
      </c>
      <c r="M444" s="14"/>
      <c r="N444" s="15">
        <f t="shared" si="1374"/>
        <v>0</v>
      </c>
      <c r="O444" s="16">
        <f t="shared" si="1348"/>
        <v>0</v>
      </c>
      <c r="P444" s="16">
        <f t="shared" si="1349"/>
        <v>10</v>
      </c>
      <c r="Q444" s="16">
        <f t="shared" si="1375"/>
        <v>-40</v>
      </c>
      <c r="R444" s="14"/>
      <c r="S444" s="15">
        <f t="shared" si="1376"/>
        <v>0</v>
      </c>
      <c r="T444" s="14"/>
      <c r="U444" s="15">
        <f t="shared" si="1377"/>
        <v>0</v>
      </c>
      <c r="V444" s="16">
        <f t="shared" si="1378"/>
        <v>0</v>
      </c>
      <c r="W444" s="17">
        <f t="shared" si="1379"/>
        <v>0</v>
      </c>
    </row>
    <row r="445" spans="1:23" s="144" customFormat="1" ht="17.25" hidden="1" thickBot="1" x14ac:dyDescent="0.25">
      <c r="A445" s="142"/>
      <c r="B445" s="143">
        <f>SUM(B446:B473)</f>
        <v>0</v>
      </c>
      <c r="C445" s="158"/>
      <c r="D445" s="221" t="s">
        <v>96</v>
      </c>
      <c r="E445" s="221"/>
      <c r="F445" s="221"/>
      <c r="G445" s="221"/>
      <c r="H445" s="221"/>
      <c r="I445" s="221"/>
      <c r="J445" s="221"/>
      <c r="K445" s="221"/>
      <c r="L445" s="221"/>
      <c r="M445" s="221"/>
      <c r="N445" s="221"/>
      <c r="O445" s="221"/>
      <c r="P445" s="221"/>
      <c r="Q445" s="221"/>
      <c r="R445" s="221"/>
      <c r="S445" s="221"/>
      <c r="T445" s="221"/>
      <c r="U445" s="221"/>
      <c r="V445" s="221"/>
      <c r="W445" s="222"/>
    </row>
    <row r="446" spans="1:23" ht="10.5" hidden="1" customHeight="1" x14ac:dyDescent="0.2">
      <c r="A446" s="11"/>
      <c r="B446" s="149">
        <f>COUNTA(Spieltag!K433:AA433)</f>
        <v>0</v>
      </c>
      <c r="C446" s="166">
        <f>Spieltag!A433</f>
        <v>1</v>
      </c>
      <c r="D446" s="21" t="str">
        <f>Spieltag!B433</f>
        <v>Finn Dahmen</v>
      </c>
      <c r="E446" s="12" t="str">
        <f>Spieltag!C433</f>
        <v>Torwart</v>
      </c>
      <c r="F446" s="13" t="s">
        <v>95</v>
      </c>
      <c r="G446" s="14"/>
      <c r="H446" s="15">
        <f t="shared" ref="H446:H449" si="1388">IF(G446="x",10,0)</f>
        <v>0</v>
      </c>
      <c r="I446" s="14"/>
      <c r="J446" s="15">
        <f t="shared" ref="J446:J449" si="1389">IF((I446="x"),-10,0)</f>
        <v>0</v>
      </c>
      <c r="K446" s="14"/>
      <c r="L446" s="15">
        <f t="shared" ref="L446:L449" si="1390">IF((K446="x"),-20,0)</f>
        <v>0</v>
      </c>
      <c r="M446" s="14"/>
      <c r="N446" s="15">
        <f t="shared" ref="N446:N449" si="1391">IF((M446="x"),-30,0)</f>
        <v>0</v>
      </c>
      <c r="O446" s="16">
        <f t="shared" ref="O446:O469" si="1392">IF(AND($V$7&gt;$W$7),20,IF($V$7=$W$7,10,0))</f>
        <v>0</v>
      </c>
      <c r="P446" s="16">
        <f t="shared" ref="P446:P469" si="1393">IF(($V$7&lt;&gt;0),$V$7*10,-5)</f>
        <v>10</v>
      </c>
      <c r="Q446" s="16">
        <f>IF(($W$7&lt;&gt;0),$W$7*-10,20)</f>
        <v>-20</v>
      </c>
      <c r="R446" s="14"/>
      <c r="S446" s="15">
        <f>R446*20</f>
        <v>0</v>
      </c>
      <c r="T446" s="14"/>
      <c r="U446" s="15">
        <f t="shared" ref="U446:U449" si="1394">T446*-15</f>
        <v>0</v>
      </c>
      <c r="V446" s="16">
        <f t="shared" ref="V446:V449" si="1395">IF(AND(R446=2),10,IF(R446=3,30,IF(R446=4,50,IF(R446=5,70,0))))</f>
        <v>0</v>
      </c>
      <c r="W446" s="17">
        <f t="shared" ref="W446:W449" si="1396">IF(G446="x",H446+J446+L446+N446+O446+P446+Q446+S446+U446+V446,0)</f>
        <v>0</v>
      </c>
    </row>
    <row r="447" spans="1:23" ht="10.5" hidden="1" customHeight="1" x14ac:dyDescent="0.2">
      <c r="A447" s="11"/>
      <c r="B447" s="149">
        <f>COUNTA(Spieltag!K434:AA434)</f>
        <v>0</v>
      </c>
      <c r="C447" s="166">
        <f>Spieltag!A434</f>
        <v>33</v>
      </c>
      <c r="D447" s="21" t="str">
        <f>Spieltag!B434</f>
        <v>Marcel Lubik (A)</v>
      </c>
      <c r="E447" s="12" t="str">
        <f>Spieltag!C434</f>
        <v>Torwart</v>
      </c>
      <c r="F447" s="13" t="s">
        <v>95</v>
      </c>
      <c r="G447" s="14"/>
      <c r="H447" s="15">
        <f t="shared" ref="H447:H448" si="1397">IF(G447="x",10,0)</f>
        <v>0</v>
      </c>
      <c r="I447" s="14"/>
      <c r="J447" s="15">
        <f t="shared" ref="J447:J448" si="1398">IF((I447="x"),-10,0)</f>
        <v>0</v>
      </c>
      <c r="K447" s="14"/>
      <c r="L447" s="15">
        <f t="shared" ref="L447:L448" si="1399">IF((K447="x"),-20,0)</f>
        <v>0</v>
      </c>
      <c r="M447" s="14"/>
      <c r="N447" s="15">
        <f t="shared" ref="N447:N448" si="1400">IF((M447="x"),-30,0)</f>
        <v>0</v>
      </c>
      <c r="O447" s="16">
        <f t="shared" si="1392"/>
        <v>0</v>
      </c>
      <c r="P447" s="16">
        <f t="shared" si="1393"/>
        <v>10</v>
      </c>
      <c r="Q447" s="16">
        <f t="shared" ref="Q447:Q448" si="1401">IF(($W$7&lt;&gt;0),$W$7*-10,20)</f>
        <v>-20</v>
      </c>
      <c r="R447" s="14"/>
      <c r="S447" s="15">
        <f t="shared" ref="S447:S448" si="1402">R447*20</f>
        <v>0</v>
      </c>
      <c r="T447" s="14"/>
      <c r="U447" s="15">
        <f t="shared" ref="U447:U448" si="1403">T447*-15</f>
        <v>0</v>
      </c>
      <c r="V447" s="16">
        <f t="shared" ref="V447:V448" si="1404">IF(AND(R447=2),10,IF(R447=3,30,IF(R447=4,50,IF(R447=5,70,0))))</f>
        <v>0</v>
      </c>
      <c r="W447" s="17">
        <f t="shared" ref="W447:W448" si="1405">IF(G447="x",H447+J447+L447+N447+O447+P447+Q447+S447+U447+V447,0)</f>
        <v>0</v>
      </c>
    </row>
    <row r="448" spans="1:23" ht="10.5" hidden="1" customHeight="1" x14ac:dyDescent="0.2">
      <c r="A448" s="11"/>
      <c r="B448" s="149">
        <f>COUNTA(Spieltag!K435:AA435)</f>
        <v>0</v>
      </c>
      <c r="C448" s="166">
        <f>Spieltag!A435</f>
        <v>40</v>
      </c>
      <c r="D448" s="21" t="str">
        <f>Spieltag!B435</f>
        <v>Tomáš Koubek (A)</v>
      </c>
      <c r="E448" s="12" t="str">
        <f>Spieltag!C435</f>
        <v>Torwart</v>
      </c>
      <c r="F448" s="13" t="s">
        <v>95</v>
      </c>
      <c r="G448" s="14"/>
      <c r="H448" s="15">
        <f t="shared" si="1397"/>
        <v>0</v>
      </c>
      <c r="I448" s="14"/>
      <c r="J448" s="15">
        <f t="shared" si="1398"/>
        <v>0</v>
      </c>
      <c r="K448" s="14"/>
      <c r="L448" s="15">
        <f t="shared" si="1399"/>
        <v>0</v>
      </c>
      <c r="M448" s="14"/>
      <c r="N448" s="15">
        <f t="shared" si="1400"/>
        <v>0</v>
      </c>
      <c r="O448" s="16">
        <f t="shared" si="1392"/>
        <v>0</v>
      </c>
      <c r="P448" s="16">
        <f t="shared" si="1393"/>
        <v>10</v>
      </c>
      <c r="Q448" s="16">
        <f t="shared" si="1401"/>
        <v>-20</v>
      </c>
      <c r="R448" s="14"/>
      <c r="S448" s="15">
        <f t="shared" si="1402"/>
        <v>0</v>
      </c>
      <c r="T448" s="14"/>
      <c r="U448" s="15">
        <f t="shared" si="1403"/>
        <v>0</v>
      </c>
      <c r="V448" s="16">
        <f t="shared" si="1404"/>
        <v>0</v>
      </c>
      <c r="W448" s="17">
        <f t="shared" si="1405"/>
        <v>0</v>
      </c>
    </row>
    <row r="449" spans="1:23" ht="10.5" hidden="1" customHeight="1" x14ac:dyDescent="0.2">
      <c r="A449" s="11"/>
      <c r="B449" s="149">
        <f>COUNTA(Spieltag!K436:AA436)</f>
        <v>0</v>
      </c>
      <c r="C449" s="166">
        <f>Spieltag!A436</f>
        <v>2</v>
      </c>
      <c r="D449" s="21" t="str">
        <f>Spieltag!B436</f>
        <v>Robert Gumny (A)</v>
      </c>
      <c r="E449" s="12" t="str">
        <f>Spieltag!C436</f>
        <v>Abwehr</v>
      </c>
      <c r="F449" s="13" t="s">
        <v>95</v>
      </c>
      <c r="G449" s="14"/>
      <c r="H449" s="15">
        <f t="shared" si="1388"/>
        <v>0</v>
      </c>
      <c r="I449" s="14"/>
      <c r="J449" s="15">
        <f t="shared" si="1389"/>
        <v>0</v>
      </c>
      <c r="K449" s="14"/>
      <c r="L449" s="15">
        <f t="shared" si="1390"/>
        <v>0</v>
      </c>
      <c r="M449" s="14"/>
      <c r="N449" s="15">
        <f t="shared" si="1391"/>
        <v>0</v>
      </c>
      <c r="O449" s="16">
        <f t="shared" si="1392"/>
        <v>0</v>
      </c>
      <c r="P449" s="16">
        <f t="shared" si="1393"/>
        <v>10</v>
      </c>
      <c r="Q449" s="16">
        <f t="shared" ref="Q449:Q458" si="1406">IF(($W$7&lt;&gt;0),$W$7*-10,15)</f>
        <v>-20</v>
      </c>
      <c r="R449" s="14"/>
      <c r="S449" s="15">
        <f>R449*15</f>
        <v>0</v>
      </c>
      <c r="T449" s="14"/>
      <c r="U449" s="15">
        <f t="shared" si="1394"/>
        <v>0</v>
      </c>
      <c r="V449" s="16">
        <f t="shared" si="1395"/>
        <v>0</v>
      </c>
      <c r="W449" s="17">
        <f t="shared" si="1396"/>
        <v>0</v>
      </c>
    </row>
    <row r="450" spans="1:23" ht="10.5" hidden="1" customHeight="1" x14ac:dyDescent="0.2">
      <c r="A450" s="11"/>
      <c r="B450" s="149">
        <f>COUNTA(Spieltag!K437:AA437)</f>
        <v>0</v>
      </c>
      <c r="C450" s="166">
        <f>Spieltag!A437</f>
        <v>3</v>
      </c>
      <c r="D450" s="21" t="str">
        <f>Spieltag!B437</f>
        <v>Mads Pedersen (A)</v>
      </c>
      <c r="E450" s="12" t="str">
        <f>Spieltag!C437</f>
        <v>Abwehr</v>
      </c>
      <c r="F450" s="13" t="s">
        <v>95</v>
      </c>
      <c r="G450" s="14"/>
      <c r="H450" s="15">
        <f t="shared" ref="H450:H458" si="1407">IF(G450="x",10,0)</f>
        <v>0</v>
      </c>
      <c r="I450" s="14"/>
      <c r="J450" s="15">
        <f t="shared" ref="J450:J458" si="1408">IF((I450="x"),-10,0)</f>
        <v>0</v>
      </c>
      <c r="K450" s="14"/>
      <c r="L450" s="15">
        <f t="shared" ref="L450:L458" si="1409">IF((K450="x"),-20,0)</f>
        <v>0</v>
      </c>
      <c r="M450" s="14"/>
      <c r="N450" s="15">
        <f t="shared" ref="N450:N458" si="1410">IF((M450="x"),-30,0)</f>
        <v>0</v>
      </c>
      <c r="O450" s="16">
        <f t="shared" si="1392"/>
        <v>0</v>
      </c>
      <c r="P450" s="16">
        <f t="shared" si="1393"/>
        <v>10</v>
      </c>
      <c r="Q450" s="16">
        <f t="shared" si="1406"/>
        <v>-20</v>
      </c>
      <c r="R450" s="14"/>
      <c r="S450" s="15">
        <f t="shared" ref="S450:S458" si="1411">R450*15</f>
        <v>0</v>
      </c>
      <c r="T450" s="14"/>
      <c r="U450" s="15">
        <f t="shared" ref="U450:U458" si="1412">T450*-15</f>
        <v>0</v>
      </c>
      <c r="V450" s="16">
        <f t="shared" ref="V450:V458" si="1413">IF(AND(R450=2),10,IF(R450=3,30,IF(R450=4,50,IF(R450=5,70,0))))</f>
        <v>0</v>
      </c>
      <c r="W450" s="17">
        <f t="shared" ref="W450:W458" si="1414">IF(G450="x",H450+J450+L450+N450+O450+P450+Q450+S450+U450+V450,0)</f>
        <v>0</v>
      </c>
    </row>
    <row r="451" spans="1:23" ht="10.5" hidden="1" customHeight="1" x14ac:dyDescent="0.2">
      <c r="A451" s="11"/>
      <c r="B451" s="149">
        <f>COUNTA(Spieltag!K438:AA438)</f>
        <v>0</v>
      </c>
      <c r="C451" s="166">
        <f>Spieltag!A438</f>
        <v>4</v>
      </c>
      <c r="D451" s="21" t="str">
        <f>Spieltag!B438</f>
        <v>Reece Oxford (A)</v>
      </c>
      <c r="E451" s="12" t="str">
        <f>Spieltag!C438</f>
        <v>Abwehr</v>
      </c>
      <c r="F451" s="13" t="s">
        <v>95</v>
      </c>
      <c r="G451" s="14"/>
      <c r="H451" s="15">
        <f t="shared" si="1407"/>
        <v>0</v>
      </c>
      <c r="I451" s="14"/>
      <c r="J451" s="15">
        <f t="shared" si="1408"/>
        <v>0</v>
      </c>
      <c r="K451" s="14"/>
      <c r="L451" s="15">
        <f t="shared" si="1409"/>
        <v>0</v>
      </c>
      <c r="M451" s="14"/>
      <c r="N451" s="15">
        <f t="shared" si="1410"/>
        <v>0</v>
      </c>
      <c r="O451" s="16">
        <f t="shared" si="1392"/>
        <v>0</v>
      </c>
      <c r="P451" s="16">
        <f t="shared" si="1393"/>
        <v>10</v>
      </c>
      <c r="Q451" s="16">
        <f t="shared" si="1406"/>
        <v>-20</v>
      </c>
      <c r="R451" s="14"/>
      <c r="S451" s="15">
        <f t="shared" si="1411"/>
        <v>0</v>
      </c>
      <c r="T451" s="14"/>
      <c r="U451" s="15">
        <f t="shared" si="1412"/>
        <v>0</v>
      </c>
      <c r="V451" s="16">
        <f t="shared" si="1413"/>
        <v>0</v>
      </c>
      <c r="W451" s="17">
        <f t="shared" si="1414"/>
        <v>0</v>
      </c>
    </row>
    <row r="452" spans="1:23" ht="10.5" hidden="1" customHeight="1" x14ac:dyDescent="0.2">
      <c r="A452" s="11"/>
      <c r="B452" s="149">
        <f>COUNTA(Spieltag!K439:AA439)</f>
        <v>0</v>
      </c>
      <c r="C452" s="166">
        <f>Spieltag!A439</f>
        <v>5</v>
      </c>
      <c r="D452" s="21" t="str">
        <f>Spieltag!B439</f>
        <v>Patric Pfeiffer</v>
      </c>
      <c r="E452" s="12" t="str">
        <f>Spieltag!C439</f>
        <v>Abwehr</v>
      </c>
      <c r="F452" s="13" t="s">
        <v>95</v>
      </c>
      <c r="G452" s="14"/>
      <c r="H452" s="15">
        <f t="shared" si="1407"/>
        <v>0</v>
      </c>
      <c r="I452" s="14"/>
      <c r="J452" s="15">
        <f t="shared" si="1408"/>
        <v>0</v>
      </c>
      <c r="K452" s="14"/>
      <c r="L452" s="15">
        <f t="shared" si="1409"/>
        <v>0</v>
      </c>
      <c r="M452" s="14"/>
      <c r="N452" s="15">
        <f t="shared" si="1410"/>
        <v>0</v>
      </c>
      <c r="O452" s="16">
        <f t="shared" si="1392"/>
        <v>0</v>
      </c>
      <c r="P452" s="16">
        <f t="shared" si="1393"/>
        <v>10</v>
      </c>
      <c r="Q452" s="16">
        <f t="shared" si="1406"/>
        <v>-20</v>
      </c>
      <c r="R452" s="14"/>
      <c r="S452" s="15">
        <f t="shared" si="1411"/>
        <v>0</v>
      </c>
      <c r="T452" s="14"/>
      <c r="U452" s="15">
        <f t="shared" si="1412"/>
        <v>0</v>
      </c>
      <c r="V452" s="16">
        <f t="shared" si="1413"/>
        <v>0</v>
      </c>
      <c r="W452" s="17">
        <f t="shared" si="1414"/>
        <v>0</v>
      </c>
    </row>
    <row r="453" spans="1:23" ht="10.5" hidden="1" customHeight="1" x14ac:dyDescent="0.2">
      <c r="A453" s="11"/>
      <c r="B453" s="149">
        <f>COUNTA(Spieltag!K440:AA440)</f>
        <v>0</v>
      </c>
      <c r="C453" s="166">
        <f>Spieltag!A440</f>
        <v>6</v>
      </c>
      <c r="D453" s="21" t="str">
        <f>Spieltag!B440</f>
        <v>Jeffrey Gouweleeuw (A)</v>
      </c>
      <c r="E453" s="12" t="str">
        <f>Spieltag!C440</f>
        <v>Abwehr</v>
      </c>
      <c r="F453" s="13" t="s">
        <v>95</v>
      </c>
      <c r="G453" s="14"/>
      <c r="H453" s="15">
        <f t="shared" si="1407"/>
        <v>0</v>
      </c>
      <c r="I453" s="14"/>
      <c r="J453" s="15">
        <f t="shared" si="1408"/>
        <v>0</v>
      </c>
      <c r="K453" s="14"/>
      <c r="L453" s="15">
        <f t="shared" si="1409"/>
        <v>0</v>
      </c>
      <c r="M453" s="14"/>
      <c r="N453" s="15">
        <f t="shared" si="1410"/>
        <v>0</v>
      </c>
      <c r="O453" s="16">
        <f t="shared" si="1392"/>
        <v>0</v>
      </c>
      <c r="P453" s="16">
        <f t="shared" si="1393"/>
        <v>10</v>
      </c>
      <c r="Q453" s="16">
        <f t="shared" si="1406"/>
        <v>-20</v>
      </c>
      <c r="R453" s="14"/>
      <c r="S453" s="15">
        <f t="shared" si="1411"/>
        <v>0</v>
      </c>
      <c r="T453" s="14"/>
      <c r="U453" s="15">
        <f t="shared" si="1412"/>
        <v>0</v>
      </c>
      <c r="V453" s="16">
        <f t="shared" si="1413"/>
        <v>0</v>
      </c>
      <c r="W453" s="17">
        <f t="shared" si="1414"/>
        <v>0</v>
      </c>
    </row>
    <row r="454" spans="1:23" ht="10.5" hidden="1" customHeight="1" x14ac:dyDescent="0.2">
      <c r="A454" s="11"/>
      <c r="B454" s="149">
        <f>COUNTA(Spieltag!K441:AA441)</f>
        <v>0</v>
      </c>
      <c r="C454" s="166">
        <f>Spieltag!A441</f>
        <v>19</v>
      </c>
      <c r="D454" s="21" t="str">
        <f>Spieltag!B441</f>
        <v>Felix Uduokhai</v>
      </c>
      <c r="E454" s="12" t="str">
        <f>Spieltag!C441</f>
        <v>Abwehr</v>
      </c>
      <c r="F454" s="13" t="s">
        <v>95</v>
      </c>
      <c r="G454" s="14"/>
      <c r="H454" s="15">
        <f t="shared" si="1407"/>
        <v>0</v>
      </c>
      <c r="I454" s="14"/>
      <c r="J454" s="15">
        <f t="shared" si="1408"/>
        <v>0</v>
      </c>
      <c r="K454" s="14"/>
      <c r="L454" s="15">
        <f t="shared" si="1409"/>
        <v>0</v>
      </c>
      <c r="M454" s="14"/>
      <c r="N454" s="15">
        <f t="shared" si="1410"/>
        <v>0</v>
      </c>
      <c r="O454" s="16">
        <f t="shared" si="1392"/>
        <v>0</v>
      </c>
      <c r="P454" s="16">
        <f t="shared" si="1393"/>
        <v>10</v>
      </c>
      <c r="Q454" s="16">
        <f t="shared" si="1406"/>
        <v>-20</v>
      </c>
      <c r="R454" s="14"/>
      <c r="S454" s="15">
        <f t="shared" si="1411"/>
        <v>0</v>
      </c>
      <c r="T454" s="14"/>
      <c r="U454" s="15">
        <f t="shared" si="1412"/>
        <v>0</v>
      </c>
      <c r="V454" s="16">
        <f t="shared" si="1413"/>
        <v>0</v>
      </c>
      <c r="W454" s="17">
        <f t="shared" si="1414"/>
        <v>0</v>
      </c>
    </row>
    <row r="455" spans="1:23" ht="10.5" hidden="1" customHeight="1" x14ac:dyDescent="0.2">
      <c r="A455" s="11"/>
      <c r="B455" s="149">
        <f>COUNTA(Spieltag!K442:AA442)</f>
        <v>0</v>
      </c>
      <c r="C455" s="166">
        <f>Spieltag!A442</f>
        <v>22</v>
      </c>
      <c r="D455" s="21" t="str">
        <f>Spieltag!B442</f>
        <v>Iago (A)</v>
      </c>
      <c r="E455" s="12" t="str">
        <f>Spieltag!C442</f>
        <v>Abwehr</v>
      </c>
      <c r="F455" s="13" t="s">
        <v>95</v>
      </c>
      <c r="G455" s="14"/>
      <c r="H455" s="15">
        <f t="shared" si="1407"/>
        <v>0</v>
      </c>
      <c r="I455" s="14"/>
      <c r="J455" s="15">
        <f t="shared" si="1408"/>
        <v>0</v>
      </c>
      <c r="K455" s="14"/>
      <c r="L455" s="15">
        <f t="shared" si="1409"/>
        <v>0</v>
      </c>
      <c r="M455" s="14"/>
      <c r="N455" s="15">
        <f t="shared" si="1410"/>
        <v>0</v>
      </c>
      <c r="O455" s="16">
        <f t="shared" si="1392"/>
        <v>0</v>
      </c>
      <c r="P455" s="16">
        <f t="shared" si="1393"/>
        <v>10</v>
      </c>
      <c r="Q455" s="16">
        <f t="shared" si="1406"/>
        <v>-20</v>
      </c>
      <c r="R455" s="14"/>
      <c r="S455" s="15">
        <f t="shared" si="1411"/>
        <v>0</v>
      </c>
      <c r="T455" s="14"/>
      <c r="U455" s="15">
        <f t="shared" si="1412"/>
        <v>0</v>
      </c>
      <c r="V455" s="16">
        <f t="shared" si="1413"/>
        <v>0</v>
      </c>
      <c r="W455" s="17">
        <f t="shared" si="1414"/>
        <v>0</v>
      </c>
    </row>
    <row r="456" spans="1:23" ht="10.5" hidden="1" customHeight="1" x14ac:dyDescent="0.2">
      <c r="A456" s="11"/>
      <c r="B456" s="149">
        <f>COUNTA(Spieltag!K443:AA443)</f>
        <v>0</v>
      </c>
      <c r="C456" s="166">
        <f>Spieltag!A443</f>
        <v>23</v>
      </c>
      <c r="D456" s="21" t="str">
        <f>Spieltag!B443</f>
        <v>Maximilian Bauer</v>
      </c>
      <c r="E456" s="12" t="str">
        <f>Spieltag!C443</f>
        <v>Abwehr</v>
      </c>
      <c r="F456" s="13" t="s">
        <v>95</v>
      </c>
      <c r="G456" s="14"/>
      <c r="H456" s="15">
        <f t="shared" si="1407"/>
        <v>0</v>
      </c>
      <c r="I456" s="14"/>
      <c r="J456" s="15">
        <f t="shared" si="1408"/>
        <v>0</v>
      </c>
      <c r="K456" s="14"/>
      <c r="L456" s="15">
        <f t="shared" si="1409"/>
        <v>0</v>
      </c>
      <c r="M456" s="14"/>
      <c r="N456" s="15">
        <f t="shared" si="1410"/>
        <v>0</v>
      </c>
      <c r="O456" s="16">
        <f t="shared" si="1392"/>
        <v>0</v>
      </c>
      <c r="P456" s="16">
        <f t="shared" si="1393"/>
        <v>10</v>
      </c>
      <c r="Q456" s="16">
        <f t="shared" si="1406"/>
        <v>-20</v>
      </c>
      <c r="R456" s="14"/>
      <c r="S456" s="15">
        <f t="shared" si="1411"/>
        <v>0</v>
      </c>
      <c r="T456" s="14"/>
      <c r="U456" s="15">
        <f t="shared" si="1412"/>
        <v>0</v>
      </c>
      <c r="V456" s="16">
        <f t="shared" si="1413"/>
        <v>0</v>
      </c>
      <c r="W456" s="17">
        <f t="shared" si="1414"/>
        <v>0</v>
      </c>
    </row>
    <row r="457" spans="1:23" ht="10.5" hidden="1" customHeight="1" x14ac:dyDescent="0.2">
      <c r="A457" s="11"/>
      <c r="B457" s="149">
        <f>COUNTA(Spieltag!K444:AA444)</f>
        <v>0</v>
      </c>
      <c r="C457" s="166">
        <f>Spieltag!A444</f>
        <v>32</v>
      </c>
      <c r="D457" s="21" t="str">
        <f>Spieltag!B444</f>
        <v>Raphael Framberger</v>
      </c>
      <c r="E457" s="12" t="str">
        <f>Spieltag!C444</f>
        <v>Abwehr</v>
      </c>
      <c r="F457" s="13" t="s">
        <v>95</v>
      </c>
      <c r="G457" s="14"/>
      <c r="H457" s="15">
        <f t="shared" si="1407"/>
        <v>0</v>
      </c>
      <c r="I457" s="14"/>
      <c r="J457" s="15">
        <f t="shared" si="1408"/>
        <v>0</v>
      </c>
      <c r="K457" s="14"/>
      <c r="L457" s="15">
        <f t="shared" si="1409"/>
        <v>0</v>
      </c>
      <c r="M457" s="14"/>
      <c r="N457" s="15">
        <f t="shared" si="1410"/>
        <v>0</v>
      </c>
      <c r="O457" s="16">
        <f t="shared" si="1392"/>
        <v>0</v>
      </c>
      <c r="P457" s="16">
        <f t="shared" si="1393"/>
        <v>10</v>
      </c>
      <c r="Q457" s="16">
        <f t="shared" si="1406"/>
        <v>-20</v>
      </c>
      <c r="R457" s="14"/>
      <c r="S457" s="15">
        <f t="shared" si="1411"/>
        <v>0</v>
      </c>
      <c r="T457" s="14"/>
      <c r="U457" s="15">
        <f t="shared" si="1412"/>
        <v>0</v>
      </c>
      <c r="V457" s="16">
        <f t="shared" si="1413"/>
        <v>0</v>
      </c>
      <c r="W457" s="17">
        <f t="shared" si="1414"/>
        <v>0</v>
      </c>
    </row>
    <row r="458" spans="1:23" ht="10.5" hidden="1" customHeight="1" x14ac:dyDescent="0.2">
      <c r="A458" s="11"/>
      <c r="B458" s="149">
        <f>COUNTA(Spieltag!K445:AA445)</f>
        <v>0</v>
      </c>
      <c r="C458" s="166">
        <f>Spieltag!A445</f>
        <v>43</v>
      </c>
      <c r="D458" s="21" t="str">
        <f>Spieltag!B445</f>
        <v>Kevin Mbabu (A)</v>
      </c>
      <c r="E458" s="12" t="str">
        <f>Spieltag!C445</f>
        <v>Abwehr</v>
      </c>
      <c r="F458" s="13" t="s">
        <v>95</v>
      </c>
      <c r="G458" s="14"/>
      <c r="H458" s="15">
        <f t="shared" si="1407"/>
        <v>0</v>
      </c>
      <c r="I458" s="14"/>
      <c r="J458" s="15">
        <f t="shared" si="1408"/>
        <v>0</v>
      </c>
      <c r="K458" s="14"/>
      <c r="L458" s="15">
        <f t="shared" si="1409"/>
        <v>0</v>
      </c>
      <c r="M458" s="14"/>
      <c r="N458" s="15">
        <f t="shared" si="1410"/>
        <v>0</v>
      </c>
      <c r="O458" s="16">
        <f t="shared" si="1392"/>
        <v>0</v>
      </c>
      <c r="P458" s="16">
        <f t="shared" si="1393"/>
        <v>10</v>
      </c>
      <c r="Q458" s="16">
        <f t="shared" si="1406"/>
        <v>-20</v>
      </c>
      <c r="R458" s="14"/>
      <c r="S458" s="15">
        <f t="shared" si="1411"/>
        <v>0</v>
      </c>
      <c r="T458" s="14"/>
      <c r="U458" s="15">
        <f t="shared" si="1412"/>
        <v>0</v>
      </c>
      <c r="V458" s="16">
        <f t="shared" si="1413"/>
        <v>0</v>
      </c>
      <c r="W458" s="17">
        <f t="shared" si="1414"/>
        <v>0</v>
      </c>
    </row>
    <row r="459" spans="1:23" ht="10.5" hidden="1" customHeight="1" x14ac:dyDescent="0.2">
      <c r="A459" s="11"/>
      <c r="B459" s="149">
        <f>COUNTA(Spieltag!K446:AA446)</f>
        <v>0</v>
      </c>
      <c r="C459" s="166">
        <f>Spieltag!A446</f>
        <v>8</v>
      </c>
      <c r="D459" s="21" t="str">
        <f>Spieltag!B446</f>
        <v>Elvis Rexhbecaj</v>
      </c>
      <c r="E459" s="12" t="str">
        <f>Spieltag!C446</f>
        <v>Mittelfeld</v>
      </c>
      <c r="F459" s="13" t="s">
        <v>95</v>
      </c>
      <c r="G459" s="14"/>
      <c r="H459" s="15">
        <f>IF(G459="x",10,0)</f>
        <v>0</v>
      </c>
      <c r="I459" s="14"/>
      <c r="J459" s="15">
        <f>IF((I459="x"),-10,0)</f>
        <v>0</v>
      </c>
      <c r="K459" s="14"/>
      <c r="L459" s="15">
        <f>IF((K459="x"),-20,0)</f>
        <v>0</v>
      </c>
      <c r="M459" s="14"/>
      <c r="N459" s="15">
        <f>IF((M459="x"),-30,0)</f>
        <v>0</v>
      </c>
      <c r="O459" s="16">
        <f t="shared" si="1392"/>
        <v>0</v>
      </c>
      <c r="P459" s="16">
        <f t="shared" si="1393"/>
        <v>10</v>
      </c>
      <c r="Q459" s="16">
        <f t="shared" ref="Q459:Q469" si="1415">IF(($W$7&lt;&gt;0),$W$7*-10,10)</f>
        <v>-20</v>
      </c>
      <c r="R459" s="14"/>
      <c r="S459" s="15">
        <f>R459*10</f>
        <v>0</v>
      </c>
      <c r="T459" s="14"/>
      <c r="U459" s="15">
        <f>T459*-15</f>
        <v>0</v>
      </c>
      <c r="V459" s="16">
        <f>IF(AND(R459=2),10,IF(R459=3,30,IF(R459=4,50,IF(R459=5,70,0))))</f>
        <v>0</v>
      </c>
      <c r="W459" s="17">
        <f>IF(G459="x",H459+J459+L459+N459+O459+P459+Q459+S459+U459+V459,0)</f>
        <v>0</v>
      </c>
    </row>
    <row r="460" spans="1:23" ht="10.5" hidden="1" customHeight="1" x14ac:dyDescent="0.2">
      <c r="A460" s="11"/>
      <c r="B460" s="149">
        <f>COUNTA(Spieltag!K447:AA447)</f>
        <v>0</v>
      </c>
      <c r="C460" s="166">
        <f>Spieltag!A447</f>
        <v>10</v>
      </c>
      <c r="D460" s="21" t="str">
        <f>Spieltag!B447</f>
        <v>Arne Maier</v>
      </c>
      <c r="E460" s="12" t="str">
        <f>Spieltag!C447</f>
        <v>Mittelfeld</v>
      </c>
      <c r="F460" s="13" t="s">
        <v>95</v>
      </c>
      <c r="G460" s="14"/>
      <c r="H460" s="15">
        <f t="shared" ref="H460:H469" si="1416">IF(G460="x",10,0)</f>
        <v>0</v>
      </c>
      <c r="I460" s="14"/>
      <c r="J460" s="15">
        <f t="shared" ref="J460:J469" si="1417">IF((I460="x"),-10,0)</f>
        <v>0</v>
      </c>
      <c r="K460" s="14"/>
      <c r="L460" s="15">
        <f t="shared" ref="L460:L469" si="1418">IF((K460="x"),-20,0)</f>
        <v>0</v>
      </c>
      <c r="M460" s="14"/>
      <c r="N460" s="15">
        <f t="shared" ref="N460:N469" si="1419">IF((M460="x"),-30,0)</f>
        <v>0</v>
      </c>
      <c r="O460" s="16">
        <f t="shared" si="1392"/>
        <v>0</v>
      </c>
      <c r="P460" s="16">
        <f t="shared" si="1393"/>
        <v>10</v>
      </c>
      <c r="Q460" s="16">
        <f t="shared" si="1415"/>
        <v>-20</v>
      </c>
      <c r="R460" s="14"/>
      <c r="S460" s="15">
        <f t="shared" ref="S460:S469" si="1420">R460*10</f>
        <v>0</v>
      </c>
      <c r="T460" s="14"/>
      <c r="U460" s="15">
        <f t="shared" ref="U460:U469" si="1421">T460*-15</f>
        <v>0</v>
      </c>
      <c r="V460" s="16">
        <f t="shared" ref="V460:V469" si="1422">IF(AND(R460=2),10,IF(R460=3,30,IF(R460=4,50,IF(R460=5,70,0))))</f>
        <v>0</v>
      </c>
      <c r="W460" s="17">
        <f t="shared" ref="W460:W469" si="1423">IF(G460="x",H460+J460+L460+N460+O460+P460+Q460+S460+U460+V460,0)</f>
        <v>0</v>
      </c>
    </row>
    <row r="461" spans="1:23" ht="10.5" hidden="1" customHeight="1" x14ac:dyDescent="0.2">
      <c r="A461" s="11"/>
      <c r="B461" s="149">
        <f>COUNTA(Spieltag!K448:AA448)</f>
        <v>0</v>
      </c>
      <c r="C461" s="166">
        <f>Spieltag!A448</f>
        <v>11</v>
      </c>
      <c r="D461" s="21" t="str">
        <f>Spieltag!B448</f>
        <v>Pep Biel (A)</v>
      </c>
      <c r="E461" s="12" t="str">
        <f>Spieltag!C448</f>
        <v>Mittelfeld</v>
      </c>
      <c r="F461" s="13" t="s">
        <v>95</v>
      </c>
      <c r="G461" s="14"/>
      <c r="H461" s="15">
        <f t="shared" ref="H461" si="1424">IF(G461="x",10,0)</f>
        <v>0</v>
      </c>
      <c r="I461" s="14"/>
      <c r="J461" s="15">
        <f t="shared" ref="J461" si="1425">IF((I461="x"),-10,0)</f>
        <v>0</v>
      </c>
      <c r="K461" s="14"/>
      <c r="L461" s="15">
        <f t="shared" ref="L461" si="1426">IF((K461="x"),-20,0)</f>
        <v>0</v>
      </c>
      <c r="M461" s="14"/>
      <c r="N461" s="15">
        <f t="shared" ref="N461" si="1427">IF((M461="x"),-30,0)</f>
        <v>0</v>
      </c>
      <c r="O461" s="16">
        <f t="shared" si="1392"/>
        <v>0</v>
      </c>
      <c r="P461" s="16">
        <f t="shared" si="1393"/>
        <v>10</v>
      </c>
      <c r="Q461" s="16">
        <f t="shared" si="1415"/>
        <v>-20</v>
      </c>
      <c r="R461" s="14"/>
      <c r="S461" s="15">
        <f t="shared" ref="S461" si="1428">R461*10</f>
        <v>0</v>
      </c>
      <c r="T461" s="14"/>
      <c r="U461" s="15">
        <f t="shared" ref="U461" si="1429">T461*-15</f>
        <v>0</v>
      </c>
      <c r="V461" s="16">
        <f t="shared" ref="V461" si="1430">IF(AND(R461=2),10,IF(R461=3,30,IF(R461=4,50,IF(R461=5,70,0))))</f>
        <v>0</v>
      </c>
      <c r="W461" s="17">
        <f t="shared" ref="W461" si="1431">IF(G461="x",H461+J461+L461+N461+O461+P461+Q461+S461+U461+V461,0)</f>
        <v>0</v>
      </c>
    </row>
    <row r="462" spans="1:23" ht="10.5" hidden="1" customHeight="1" x14ac:dyDescent="0.2">
      <c r="A462" s="11"/>
      <c r="B462" s="149">
        <f>COUNTA(Spieltag!K449:AA449)</f>
        <v>0</v>
      </c>
      <c r="C462" s="166">
        <f>Spieltag!A449</f>
        <v>14</v>
      </c>
      <c r="D462" s="21" t="str">
        <f>Spieltag!B449</f>
        <v>Masaya Okugawa (A)</v>
      </c>
      <c r="E462" s="12" t="str">
        <f>Spieltag!C449</f>
        <v>Mittelfeld</v>
      </c>
      <c r="F462" s="13" t="s">
        <v>95</v>
      </c>
      <c r="G462" s="14"/>
      <c r="H462" s="15">
        <f t="shared" si="1416"/>
        <v>0</v>
      </c>
      <c r="I462" s="14"/>
      <c r="J462" s="15">
        <f t="shared" si="1417"/>
        <v>0</v>
      </c>
      <c r="K462" s="14"/>
      <c r="L462" s="15">
        <f t="shared" si="1418"/>
        <v>0</v>
      </c>
      <c r="M462" s="14"/>
      <c r="N462" s="15">
        <f t="shared" si="1419"/>
        <v>0</v>
      </c>
      <c r="O462" s="16">
        <f t="shared" si="1392"/>
        <v>0</v>
      </c>
      <c r="P462" s="16">
        <f t="shared" si="1393"/>
        <v>10</v>
      </c>
      <c r="Q462" s="16">
        <f t="shared" si="1415"/>
        <v>-20</v>
      </c>
      <c r="R462" s="14"/>
      <c r="S462" s="15">
        <f t="shared" si="1420"/>
        <v>0</v>
      </c>
      <c r="T462" s="14"/>
      <c r="U462" s="15">
        <f t="shared" si="1421"/>
        <v>0</v>
      </c>
      <c r="V462" s="16">
        <f t="shared" si="1422"/>
        <v>0</v>
      </c>
      <c r="W462" s="17">
        <f t="shared" si="1423"/>
        <v>0</v>
      </c>
    </row>
    <row r="463" spans="1:23" ht="10.5" hidden="1" customHeight="1" x14ac:dyDescent="0.2">
      <c r="A463" s="11"/>
      <c r="B463" s="149">
        <f>COUNTA(Spieltag!K450:AA450)</f>
        <v>0</v>
      </c>
      <c r="C463" s="166">
        <f>Spieltag!A450</f>
        <v>16</v>
      </c>
      <c r="D463" s="21" t="str">
        <f>Spieltag!B450</f>
        <v>Ruben Vargas (A)</v>
      </c>
      <c r="E463" s="12" t="str">
        <f>Spieltag!C450</f>
        <v>Mittelfeld</v>
      </c>
      <c r="F463" s="13" t="s">
        <v>95</v>
      </c>
      <c r="G463" s="14"/>
      <c r="H463" s="15">
        <f t="shared" si="1416"/>
        <v>0</v>
      </c>
      <c r="I463" s="14"/>
      <c r="J463" s="15">
        <f t="shared" si="1417"/>
        <v>0</v>
      </c>
      <c r="K463" s="14"/>
      <c r="L463" s="15">
        <f t="shared" si="1418"/>
        <v>0</v>
      </c>
      <c r="M463" s="14"/>
      <c r="N463" s="15">
        <f t="shared" si="1419"/>
        <v>0</v>
      </c>
      <c r="O463" s="16">
        <f t="shared" si="1392"/>
        <v>0</v>
      </c>
      <c r="P463" s="16">
        <f t="shared" si="1393"/>
        <v>10</v>
      </c>
      <c r="Q463" s="16">
        <f t="shared" si="1415"/>
        <v>-20</v>
      </c>
      <c r="R463" s="14"/>
      <c r="S463" s="15">
        <f t="shared" si="1420"/>
        <v>0</v>
      </c>
      <c r="T463" s="14"/>
      <c r="U463" s="15">
        <f t="shared" si="1421"/>
        <v>0</v>
      </c>
      <c r="V463" s="16">
        <f t="shared" si="1422"/>
        <v>0</v>
      </c>
      <c r="W463" s="17">
        <f t="shared" si="1423"/>
        <v>0</v>
      </c>
    </row>
    <row r="464" spans="1:23" ht="10.5" hidden="1" customHeight="1" x14ac:dyDescent="0.2">
      <c r="A464" s="11"/>
      <c r="B464" s="149">
        <f>COUNTA(Spieltag!K451:AA451)</f>
        <v>0</v>
      </c>
      <c r="C464" s="166">
        <f>Spieltag!A451</f>
        <v>17</v>
      </c>
      <c r="D464" s="21" t="str">
        <f>Spieltag!B451</f>
        <v>Kristijan Jakić (A)</v>
      </c>
      <c r="E464" s="12" t="str">
        <f>Spieltag!C451</f>
        <v>Mittelfeld</v>
      </c>
      <c r="F464" s="13" t="s">
        <v>95</v>
      </c>
      <c r="G464" s="14"/>
      <c r="H464" s="15">
        <f t="shared" ref="H464" si="1432">IF(G464="x",10,0)</f>
        <v>0</v>
      </c>
      <c r="I464" s="14"/>
      <c r="J464" s="15">
        <f t="shared" ref="J464" si="1433">IF((I464="x"),-10,0)</f>
        <v>0</v>
      </c>
      <c r="K464" s="14"/>
      <c r="L464" s="15">
        <f t="shared" ref="L464" si="1434">IF((K464="x"),-20,0)</f>
        <v>0</v>
      </c>
      <c r="M464" s="14"/>
      <c r="N464" s="15">
        <f t="shared" ref="N464" si="1435">IF((M464="x"),-30,0)</f>
        <v>0</v>
      </c>
      <c r="O464" s="16">
        <f t="shared" si="1392"/>
        <v>0</v>
      </c>
      <c r="P464" s="16">
        <f t="shared" si="1393"/>
        <v>10</v>
      </c>
      <c r="Q464" s="16">
        <f t="shared" si="1415"/>
        <v>-20</v>
      </c>
      <c r="R464" s="14"/>
      <c r="S464" s="15">
        <f t="shared" ref="S464" si="1436">R464*10</f>
        <v>0</v>
      </c>
      <c r="T464" s="14"/>
      <c r="U464" s="15">
        <f t="shared" ref="U464" si="1437">T464*-15</f>
        <v>0</v>
      </c>
      <c r="V464" s="16">
        <f t="shared" ref="V464" si="1438">IF(AND(R464=2),10,IF(R464=3,30,IF(R464=4,50,IF(R464=5,70,0))))</f>
        <v>0</v>
      </c>
      <c r="W464" s="17">
        <f t="shared" ref="W464" si="1439">IF(G464="x",H464+J464+L464+N464+O464+P464+Q464+S464+U464+V464,0)</f>
        <v>0</v>
      </c>
    </row>
    <row r="465" spans="1:23" ht="10.5" hidden="1" customHeight="1" x14ac:dyDescent="0.2">
      <c r="A465" s="11"/>
      <c r="B465" s="149">
        <f>COUNTA(Spieltag!K452:AA452)</f>
        <v>0</v>
      </c>
      <c r="C465" s="166">
        <f>Spieltag!A452</f>
        <v>18</v>
      </c>
      <c r="D465" s="21" t="str">
        <f>Spieltag!B452</f>
        <v>Tim Breithaupt</v>
      </c>
      <c r="E465" s="12" t="str">
        <f>Spieltag!C452</f>
        <v>Mittelfeld</v>
      </c>
      <c r="F465" s="13" t="s">
        <v>95</v>
      </c>
      <c r="G465" s="14"/>
      <c r="H465" s="15">
        <f t="shared" si="1416"/>
        <v>0</v>
      </c>
      <c r="I465" s="14"/>
      <c r="J465" s="15">
        <f t="shared" si="1417"/>
        <v>0</v>
      </c>
      <c r="K465" s="14"/>
      <c r="L465" s="15">
        <f t="shared" si="1418"/>
        <v>0</v>
      </c>
      <c r="M465" s="14"/>
      <c r="N465" s="15">
        <f t="shared" si="1419"/>
        <v>0</v>
      </c>
      <c r="O465" s="16">
        <f t="shared" si="1392"/>
        <v>0</v>
      </c>
      <c r="P465" s="16">
        <f t="shared" si="1393"/>
        <v>10</v>
      </c>
      <c r="Q465" s="16">
        <f t="shared" si="1415"/>
        <v>-20</v>
      </c>
      <c r="R465" s="14"/>
      <c r="S465" s="15">
        <f t="shared" si="1420"/>
        <v>0</v>
      </c>
      <c r="T465" s="14"/>
      <c r="U465" s="15">
        <f t="shared" si="1421"/>
        <v>0</v>
      </c>
      <c r="V465" s="16">
        <f t="shared" si="1422"/>
        <v>0</v>
      </c>
      <c r="W465" s="17">
        <f t="shared" si="1423"/>
        <v>0</v>
      </c>
    </row>
    <row r="466" spans="1:23" ht="10.5" hidden="1" customHeight="1" x14ac:dyDescent="0.2">
      <c r="A466" s="11"/>
      <c r="B466" s="149">
        <f>COUNTA(Spieltag!K453:AA453)</f>
        <v>0</v>
      </c>
      <c r="C466" s="166">
        <f>Spieltag!A453</f>
        <v>24</v>
      </c>
      <c r="D466" s="21" t="str">
        <f>Spieltag!B453</f>
        <v>Fredrik Jensen (A)</v>
      </c>
      <c r="E466" s="12" t="str">
        <f>Spieltag!C453</f>
        <v>Mittelfeld</v>
      </c>
      <c r="F466" s="13" t="s">
        <v>95</v>
      </c>
      <c r="G466" s="14"/>
      <c r="H466" s="15">
        <f t="shared" si="1416"/>
        <v>0</v>
      </c>
      <c r="I466" s="14"/>
      <c r="J466" s="15">
        <f t="shared" si="1417"/>
        <v>0</v>
      </c>
      <c r="K466" s="14"/>
      <c r="L466" s="15">
        <f t="shared" si="1418"/>
        <v>0</v>
      </c>
      <c r="M466" s="14"/>
      <c r="N466" s="15">
        <f t="shared" si="1419"/>
        <v>0</v>
      </c>
      <c r="O466" s="16">
        <f t="shared" si="1392"/>
        <v>0</v>
      </c>
      <c r="P466" s="16">
        <f t="shared" si="1393"/>
        <v>10</v>
      </c>
      <c r="Q466" s="16">
        <f t="shared" si="1415"/>
        <v>-20</v>
      </c>
      <c r="R466" s="14"/>
      <c r="S466" s="15">
        <f t="shared" si="1420"/>
        <v>0</v>
      </c>
      <c r="T466" s="14"/>
      <c r="U466" s="15">
        <f t="shared" si="1421"/>
        <v>0</v>
      </c>
      <c r="V466" s="16">
        <f t="shared" si="1422"/>
        <v>0</v>
      </c>
      <c r="W466" s="17">
        <f t="shared" si="1423"/>
        <v>0</v>
      </c>
    </row>
    <row r="467" spans="1:23" ht="10.5" hidden="1" customHeight="1" x14ac:dyDescent="0.2">
      <c r="A467" s="11"/>
      <c r="B467" s="149">
        <f>COUNTA(Spieltag!K454:AA454)</f>
        <v>0</v>
      </c>
      <c r="C467" s="166">
        <f>Spieltag!A454</f>
        <v>27</v>
      </c>
      <c r="D467" s="21" t="str">
        <f>Spieltag!B454</f>
        <v>Arne Engels (A)</v>
      </c>
      <c r="E467" s="12" t="str">
        <f>Spieltag!C454</f>
        <v>Mittelfeld</v>
      </c>
      <c r="F467" s="13" t="s">
        <v>95</v>
      </c>
      <c r="G467" s="14"/>
      <c r="H467" s="15">
        <f t="shared" si="1416"/>
        <v>0</v>
      </c>
      <c r="I467" s="14"/>
      <c r="J467" s="15">
        <f t="shared" si="1417"/>
        <v>0</v>
      </c>
      <c r="K467" s="14"/>
      <c r="L467" s="15">
        <f t="shared" si="1418"/>
        <v>0</v>
      </c>
      <c r="M467" s="14"/>
      <c r="N467" s="15">
        <f t="shared" si="1419"/>
        <v>0</v>
      </c>
      <c r="O467" s="16">
        <f t="shared" si="1392"/>
        <v>0</v>
      </c>
      <c r="P467" s="16">
        <f t="shared" si="1393"/>
        <v>10</v>
      </c>
      <c r="Q467" s="16">
        <f t="shared" si="1415"/>
        <v>-20</v>
      </c>
      <c r="R467" s="14"/>
      <c r="S467" s="15">
        <f t="shared" si="1420"/>
        <v>0</v>
      </c>
      <c r="T467" s="14"/>
      <c r="U467" s="15">
        <f t="shared" si="1421"/>
        <v>0</v>
      </c>
      <c r="V467" s="16">
        <f t="shared" si="1422"/>
        <v>0</v>
      </c>
      <c r="W467" s="17">
        <f t="shared" si="1423"/>
        <v>0</v>
      </c>
    </row>
    <row r="468" spans="1:23" ht="10.5" hidden="1" customHeight="1" x14ac:dyDescent="0.2">
      <c r="A468" s="11"/>
      <c r="B468" s="149">
        <f>COUNTA(Spieltag!K455:AA455)</f>
        <v>0</v>
      </c>
      <c r="C468" s="166">
        <f>Spieltag!A455</f>
        <v>30</v>
      </c>
      <c r="D468" s="21" t="str">
        <f>Spieltag!B455</f>
        <v>Niklas Dorsch</v>
      </c>
      <c r="E468" s="12" t="str">
        <f>Spieltag!C455</f>
        <v>Mittelfeld</v>
      </c>
      <c r="F468" s="13" t="s">
        <v>95</v>
      </c>
      <c r="G468" s="14"/>
      <c r="H468" s="15">
        <f t="shared" si="1416"/>
        <v>0</v>
      </c>
      <c r="I468" s="14"/>
      <c r="J468" s="15">
        <f t="shared" si="1417"/>
        <v>0</v>
      </c>
      <c r="K468" s="14"/>
      <c r="L468" s="15">
        <f t="shared" si="1418"/>
        <v>0</v>
      </c>
      <c r="M468" s="14"/>
      <c r="N468" s="15">
        <f t="shared" si="1419"/>
        <v>0</v>
      </c>
      <c r="O468" s="16">
        <f t="shared" si="1392"/>
        <v>0</v>
      </c>
      <c r="P468" s="16">
        <f t="shared" si="1393"/>
        <v>10</v>
      </c>
      <c r="Q468" s="16">
        <f t="shared" si="1415"/>
        <v>-20</v>
      </c>
      <c r="R468" s="14"/>
      <c r="S468" s="15">
        <f t="shared" si="1420"/>
        <v>0</v>
      </c>
      <c r="T468" s="14"/>
      <c r="U468" s="15">
        <f t="shared" si="1421"/>
        <v>0</v>
      </c>
      <c r="V468" s="16">
        <f t="shared" si="1422"/>
        <v>0</v>
      </c>
      <c r="W468" s="17">
        <f t="shared" si="1423"/>
        <v>0</v>
      </c>
    </row>
    <row r="469" spans="1:23" ht="10.5" hidden="1" customHeight="1" x14ac:dyDescent="0.2">
      <c r="A469" s="11"/>
      <c r="B469" s="149">
        <f>COUNTA(Spieltag!K456:AA456)</f>
        <v>0</v>
      </c>
      <c r="C469" s="166">
        <f>Spieltag!A456</f>
        <v>36</v>
      </c>
      <c r="D469" s="21" t="str">
        <f>Spieltag!B456</f>
        <v>Mert Kömür</v>
      </c>
      <c r="E469" s="12" t="str">
        <f>Spieltag!C456</f>
        <v>Mittelfeld</v>
      </c>
      <c r="F469" s="13" t="s">
        <v>95</v>
      </c>
      <c r="G469" s="14"/>
      <c r="H469" s="15">
        <f t="shared" si="1416"/>
        <v>0</v>
      </c>
      <c r="I469" s="14"/>
      <c r="J469" s="15">
        <f t="shared" si="1417"/>
        <v>0</v>
      </c>
      <c r="K469" s="14"/>
      <c r="L469" s="15">
        <f t="shared" si="1418"/>
        <v>0</v>
      </c>
      <c r="M469" s="14"/>
      <c r="N469" s="15">
        <f t="shared" si="1419"/>
        <v>0</v>
      </c>
      <c r="O469" s="16">
        <f t="shared" si="1392"/>
        <v>0</v>
      </c>
      <c r="P469" s="16">
        <f t="shared" si="1393"/>
        <v>10</v>
      </c>
      <c r="Q469" s="16">
        <f t="shared" si="1415"/>
        <v>-20</v>
      </c>
      <c r="R469" s="14"/>
      <c r="S469" s="15">
        <f t="shared" si="1420"/>
        <v>0</v>
      </c>
      <c r="T469" s="14"/>
      <c r="U469" s="15">
        <f t="shared" si="1421"/>
        <v>0</v>
      </c>
      <c r="V469" s="16">
        <f t="shared" si="1422"/>
        <v>0</v>
      </c>
      <c r="W469" s="17">
        <f t="shared" si="1423"/>
        <v>0</v>
      </c>
    </row>
    <row r="470" spans="1:23" ht="10.5" hidden="1" customHeight="1" x14ac:dyDescent="0.2">
      <c r="A470" s="11"/>
      <c r="B470" s="149">
        <f>COUNTA(Spieltag!K457:AA457)</f>
        <v>0</v>
      </c>
      <c r="C470" s="166">
        <f>Spieltag!A457</f>
        <v>7</v>
      </c>
      <c r="D470" s="21" t="str">
        <f>Spieltag!B457</f>
        <v>Dion Beljo (A)</v>
      </c>
      <c r="E470" s="12" t="str">
        <f>Spieltag!C457</f>
        <v>Sturm</v>
      </c>
      <c r="F470" s="13" t="s">
        <v>95</v>
      </c>
      <c r="G470" s="14"/>
      <c r="H470" s="15">
        <f>IF(G470="x",10,0)</f>
        <v>0</v>
      </c>
      <c r="I470" s="14"/>
      <c r="J470" s="15">
        <f>IF((I470="x"),-10,0)</f>
        <v>0</v>
      </c>
      <c r="K470" s="14"/>
      <c r="L470" s="15">
        <f>IF((K470="x"),-20,0)</f>
        <v>0</v>
      </c>
      <c r="M470" s="14"/>
      <c r="N470" s="15">
        <f>IF((M470="x"),-30,0)</f>
        <v>0</v>
      </c>
      <c r="O470" s="16">
        <f t="shared" ref="O470:O473" si="1440">IF(AND($V$7&gt;$W$7),20,IF($V$7=$W$7,10,0))</f>
        <v>0</v>
      </c>
      <c r="P470" s="16">
        <f t="shared" ref="P470:P473" si="1441">IF(($V$7&lt;&gt;0),$V$7*10,-5)</f>
        <v>10</v>
      </c>
      <c r="Q470" s="16">
        <f t="shared" ref="Q470:Q473" si="1442">IF(($W$7&lt;&gt;0),$W$7*-10,5)</f>
        <v>-20</v>
      </c>
      <c r="R470" s="14"/>
      <c r="S470" s="15">
        <f>R470*10</f>
        <v>0</v>
      </c>
      <c r="T470" s="14"/>
      <c r="U470" s="15">
        <f>T470*-15</f>
        <v>0</v>
      </c>
      <c r="V470" s="16">
        <f>IF(AND(R470=2),10,IF(R470=3,30,IF(R470=4,50,IF(R470=5,70,0))))</f>
        <v>0</v>
      </c>
      <c r="W470" s="17">
        <f>IF(G470="x",H470+J470+L470+N470+O470+P470+Q470+S470+U470+V470,0)</f>
        <v>0</v>
      </c>
    </row>
    <row r="471" spans="1:23" ht="10.5" hidden="1" customHeight="1" x14ac:dyDescent="0.2">
      <c r="A471" s="11"/>
      <c r="B471" s="149">
        <f>COUNTA(Spieltag!K458:AA458)</f>
        <v>0</v>
      </c>
      <c r="C471" s="166">
        <f>Spieltag!A458</f>
        <v>9</v>
      </c>
      <c r="D471" s="21" t="str">
        <f>Spieltag!B458</f>
        <v>Ermedin Demirović (A)</v>
      </c>
      <c r="E471" s="12" t="str">
        <f>Spieltag!C458</f>
        <v>Sturm</v>
      </c>
      <c r="F471" s="13" t="s">
        <v>95</v>
      </c>
      <c r="G471" s="14"/>
      <c r="H471" s="15">
        <f t="shared" ref="H471:H473" si="1443">IF(G471="x",10,0)</f>
        <v>0</v>
      </c>
      <c r="I471" s="14"/>
      <c r="J471" s="15">
        <f t="shared" ref="J471:J473" si="1444">IF((I471="x"),-10,0)</f>
        <v>0</v>
      </c>
      <c r="K471" s="14"/>
      <c r="L471" s="15">
        <f t="shared" ref="L471:L473" si="1445">IF((K471="x"),-20,0)</f>
        <v>0</v>
      </c>
      <c r="M471" s="14"/>
      <c r="N471" s="15">
        <f t="shared" ref="N471:N473" si="1446">IF((M471="x"),-30,0)</f>
        <v>0</v>
      </c>
      <c r="O471" s="16">
        <f t="shared" si="1440"/>
        <v>0</v>
      </c>
      <c r="P471" s="16">
        <f t="shared" si="1441"/>
        <v>10</v>
      </c>
      <c r="Q471" s="16">
        <f t="shared" si="1442"/>
        <v>-20</v>
      </c>
      <c r="R471" s="14"/>
      <c r="S471" s="15">
        <f t="shared" ref="S471:S473" si="1447">R471*10</f>
        <v>0</v>
      </c>
      <c r="T471" s="14"/>
      <c r="U471" s="15">
        <f t="shared" ref="U471:U473" si="1448">T471*-15</f>
        <v>0</v>
      </c>
      <c r="V471" s="16">
        <f t="shared" ref="V471:V473" si="1449">IF(AND(R471=2),10,IF(R471=3,30,IF(R471=4,50,IF(R471=5,70,0))))</f>
        <v>0</v>
      </c>
      <c r="W471" s="17">
        <f t="shared" ref="W471:W473" si="1450">IF(G471="x",H471+J471+L471+N471+O471+P471+Q471+S471+U471+V471,0)</f>
        <v>0</v>
      </c>
    </row>
    <row r="472" spans="1:23" ht="10.5" hidden="1" customHeight="1" x14ac:dyDescent="0.2">
      <c r="A472" s="11"/>
      <c r="B472" s="149">
        <f>COUNTA(Spieltag!K459:AA459)</f>
        <v>0</v>
      </c>
      <c r="C472" s="166">
        <f>Spieltag!A459</f>
        <v>20</v>
      </c>
      <c r="D472" s="21" t="str">
        <f>Spieltag!B459</f>
        <v>Sven Michel</v>
      </c>
      <c r="E472" s="12" t="str">
        <f>Spieltag!C459</f>
        <v>Sturm</v>
      </c>
      <c r="F472" s="13" t="s">
        <v>95</v>
      </c>
      <c r="G472" s="14"/>
      <c r="H472" s="15">
        <f t="shared" si="1443"/>
        <v>0</v>
      </c>
      <c r="I472" s="14"/>
      <c r="J472" s="15">
        <f t="shared" si="1444"/>
        <v>0</v>
      </c>
      <c r="K472" s="14"/>
      <c r="L472" s="15">
        <f t="shared" si="1445"/>
        <v>0</v>
      </c>
      <c r="M472" s="14"/>
      <c r="N472" s="15">
        <f t="shared" si="1446"/>
        <v>0</v>
      </c>
      <c r="O472" s="16">
        <f t="shared" si="1440"/>
        <v>0</v>
      </c>
      <c r="P472" s="16">
        <f t="shared" si="1441"/>
        <v>10</v>
      </c>
      <c r="Q472" s="16">
        <f t="shared" si="1442"/>
        <v>-20</v>
      </c>
      <c r="R472" s="14"/>
      <c r="S472" s="15">
        <f t="shared" si="1447"/>
        <v>0</v>
      </c>
      <c r="T472" s="14"/>
      <c r="U472" s="15">
        <f t="shared" si="1448"/>
        <v>0</v>
      </c>
      <c r="V472" s="16">
        <f t="shared" si="1449"/>
        <v>0</v>
      </c>
      <c r="W472" s="17">
        <f t="shared" si="1450"/>
        <v>0</v>
      </c>
    </row>
    <row r="473" spans="1:23" ht="10.5" hidden="1" customHeight="1" x14ac:dyDescent="0.2">
      <c r="A473" s="11"/>
      <c r="B473" s="149">
        <f>COUNTA(Spieltag!K460:AA460)</f>
        <v>0</v>
      </c>
      <c r="C473" s="166">
        <f>Spieltag!A460</f>
        <v>21</v>
      </c>
      <c r="D473" s="21" t="str">
        <f>Spieltag!B460</f>
        <v>Phillip Tietz</v>
      </c>
      <c r="E473" s="12" t="str">
        <f>Spieltag!C460</f>
        <v>Sturm</v>
      </c>
      <c r="F473" s="13" t="s">
        <v>95</v>
      </c>
      <c r="G473" s="14"/>
      <c r="H473" s="15">
        <f t="shared" si="1443"/>
        <v>0</v>
      </c>
      <c r="I473" s="14"/>
      <c r="J473" s="15">
        <f t="shared" si="1444"/>
        <v>0</v>
      </c>
      <c r="K473" s="14"/>
      <c r="L473" s="15">
        <f t="shared" si="1445"/>
        <v>0</v>
      </c>
      <c r="M473" s="14"/>
      <c r="N473" s="15">
        <f t="shared" si="1446"/>
        <v>0</v>
      </c>
      <c r="O473" s="16">
        <f t="shared" si="1440"/>
        <v>0</v>
      </c>
      <c r="P473" s="16">
        <f t="shared" si="1441"/>
        <v>10</v>
      </c>
      <c r="Q473" s="16">
        <f t="shared" si="1442"/>
        <v>-20</v>
      </c>
      <c r="R473" s="14"/>
      <c r="S473" s="15">
        <f t="shared" si="1447"/>
        <v>0</v>
      </c>
      <c r="T473" s="14"/>
      <c r="U473" s="15">
        <f t="shared" si="1448"/>
        <v>0</v>
      </c>
      <c r="V473" s="16">
        <f t="shared" si="1449"/>
        <v>0</v>
      </c>
      <c r="W473" s="17">
        <f t="shared" si="1450"/>
        <v>0</v>
      </c>
    </row>
    <row r="474" spans="1:23" s="144" customFormat="1" ht="17.25" thickBot="1" x14ac:dyDescent="0.25">
      <c r="A474" s="142"/>
      <c r="B474" s="143">
        <f>SUM(B475:B506)</f>
        <v>18</v>
      </c>
      <c r="C474" s="158"/>
      <c r="D474" s="221" t="s">
        <v>225</v>
      </c>
      <c r="E474" s="221"/>
      <c r="F474" s="221"/>
      <c r="G474" s="221"/>
      <c r="H474" s="221"/>
      <c r="I474" s="221"/>
      <c r="J474" s="221"/>
      <c r="K474" s="221"/>
      <c r="L474" s="221"/>
      <c r="M474" s="221"/>
      <c r="N474" s="221"/>
      <c r="O474" s="221"/>
      <c r="P474" s="221"/>
      <c r="Q474" s="221"/>
      <c r="R474" s="221"/>
      <c r="S474" s="221"/>
      <c r="T474" s="221"/>
      <c r="U474" s="221"/>
      <c r="V474" s="221"/>
      <c r="W474" s="222"/>
    </row>
    <row r="475" spans="1:23" ht="10.5" hidden="1" customHeight="1" x14ac:dyDescent="0.2">
      <c r="A475" s="11"/>
      <c r="B475" s="150">
        <f>COUNTA(Spieltag!K462:AA462)</f>
        <v>0</v>
      </c>
      <c r="C475" s="166">
        <f>Spieltag!A462</f>
        <v>1</v>
      </c>
      <c r="D475" s="21" t="str">
        <f>Spieltag!B462</f>
        <v>Fabian Bredlow</v>
      </c>
      <c r="E475" s="151" t="str">
        <f>Spieltag!C462</f>
        <v>Torwart</v>
      </c>
      <c r="F475" s="152" t="s">
        <v>224</v>
      </c>
      <c r="G475" s="153"/>
      <c r="H475" s="154">
        <f t="shared" ref="H475:H477" si="1451">IF(G475="x",10,0)</f>
        <v>0</v>
      </c>
      <c r="I475" s="153"/>
      <c r="J475" s="154">
        <f t="shared" ref="J475:J477" si="1452">IF((I475="x"),-10,0)</f>
        <v>0</v>
      </c>
      <c r="K475" s="153"/>
      <c r="L475" s="154">
        <f t="shared" ref="L475:L477" si="1453">IF((K475="x"),-20,0)</f>
        <v>0</v>
      </c>
      <c r="M475" s="153"/>
      <c r="N475" s="154">
        <f t="shared" ref="N475:N477" si="1454">IF((M475="x"),-30,0)</f>
        <v>0</v>
      </c>
      <c r="O475" s="155">
        <f t="shared" ref="O475:O478" si="1455">IF(AND($P$10&gt;$Q$10),20,IF($P$10=$Q$10,10,0))</f>
        <v>20</v>
      </c>
      <c r="P475" s="155">
        <f t="shared" ref="P475:P478" si="1456">IF(($P$10&lt;&gt;0),$P$10*10,-5)</f>
        <v>40</v>
      </c>
      <c r="Q475" s="155">
        <f t="shared" ref="Q475:Q478" si="1457">IF(($Q$10&lt;&gt;0),$Q$10*-10,20)</f>
        <v>20</v>
      </c>
      <c r="R475" s="153"/>
      <c r="S475" s="154">
        <f t="shared" ref="S475:S477" si="1458">R475*20</f>
        <v>0</v>
      </c>
      <c r="T475" s="153"/>
      <c r="U475" s="154">
        <f t="shared" ref="U475:U477" si="1459">T475*-15</f>
        <v>0</v>
      </c>
      <c r="V475" s="155">
        <f t="shared" ref="V475:V477" si="1460">IF(AND(R475=2),10,IF(R475=3,30,IF(R475=4,50,IF(R475=5,70,0))))</f>
        <v>0</v>
      </c>
      <c r="W475" s="156">
        <f t="shared" ref="W475:W477" si="1461">IF(G475="x",H475+J475+L475+N475+O475+P475+Q475+S475+U475+V475,0)</f>
        <v>0</v>
      </c>
    </row>
    <row r="476" spans="1:23" ht="10.5" customHeight="1" x14ac:dyDescent="0.2">
      <c r="A476" s="11"/>
      <c r="B476" s="150">
        <f>COUNTA(Spieltag!K463:AA463)</f>
        <v>1</v>
      </c>
      <c r="C476" s="166">
        <f>Spieltag!A463</f>
        <v>33</v>
      </c>
      <c r="D476" s="21" t="str">
        <f>Spieltag!B463</f>
        <v>Alexander Nübel</v>
      </c>
      <c r="E476" s="151" t="str">
        <f>Spieltag!C463</f>
        <v>Torwart</v>
      </c>
      <c r="F476" s="152" t="s">
        <v>224</v>
      </c>
      <c r="G476" s="153" t="s">
        <v>676</v>
      </c>
      <c r="H476" s="154">
        <f t="shared" si="1451"/>
        <v>10</v>
      </c>
      <c r="I476" s="153"/>
      <c r="J476" s="154">
        <f t="shared" si="1452"/>
        <v>0</v>
      </c>
      <c r="K476" s="153"/>
      <c r="L476" s="154">
        <f t="shared" si="1453"/>
        <v>0</v>
      </c>
      <c r="M476" s="153"/>
      <c r="N476" s="154">
        <f t="shared" si="1454"/>
        <v>0</v>
      </c>
      <c r="O476" s="155">
        <f t="shared" si="1455"/>
        <v>20</v>
      </c>
      <c r="P476" s="155">
        <f t="shared" si="1456"/>
        <v>40</v>
      </c>
      <c r="Q476" s="155">
        <f t="shared" si="1457"/>
        <v>20</v>
      </c>
      <c r="R476" s="153"/>
      <c r="S476" s="154">
        <f t="shared" si="1458"/>
        <v>0</v>
      </c>
      <c r="T476" s="153"/>
      <c r="U476" s="154">
        <f t="shared" si="1459"/>
        <v>0</v>
      </c>
      <c r="V476" s="155">
        <f t="shared" si="1460"/>
        <v>0</v>
      </c>
      <c r="W476" s="156">
        <f t="shared" si="1461"/>
        <v>90</v>
      </c>
    </row>
    <row r="477" spans="1:23" ht="10.5" hidden="1" customHeight="1" x14ac:dyDescent="0.2">
      <c r="A477" s="11"/>
      <c r="B477" s="150">
        <f>COUNTA(Spieltag!K464:AA464)</f>
        <v>0</v>
      </c>
      <c r="C477" s="166">
        <f>Spieltag!A464</f>
        <v>41</v>
      </c>
      <c r="D477" s="21" t="str">
        <f>Spieltag!B464</f>
        <v>Dennis Seimen</v>
      </c>
      <c r="E477" s="151" t="str">
        <f>Spieltag!C464</f>
        <v>Torwart</v>
      </c>
      <c r="F477" s="152" t="s">
        <v>224</v>
      </c>
      <c r="G477" s="153"/>
      <c r="H477" s="154">
        <f t="shared" si="1451"/>
        <v>0</v>
      </c>
      <c r="I477" s="153"/>
      <c r="J477" s="154">
        <f t="shared" si="1452"/>
        <v>0</v>
      </c>
      <c r="K477" s="153"/>
      <c r="L477" s="154">
        <f t="shared" si="1453"/>
        <v>0</v>
      </c>
      <c r="M477" s="153"/>
      <c r="N477" s="154">
        <f t="shared" si="1454"/>
        <v>0</v>
      </c>
      <c r="O477" s="155">
        <f t="shared" si="1455"/>
        <v>20</v>
      </c>
      <c r="P477" s="155">
        <f t="shared" si="1456"/>
        <v>40</v>
      </c>
      <c r="Q477" s="155">
        <f t="shared" si="1457"/>
        <v>20</v>
      </c>
      <c r="R477" s="153"/>
      <c r="S477" s="154">
        <f t="shared" si="1458"/>
        <v>0</v>
      </c>
      <c r="T477" s="153"/>
      <c r="U477" s="154">
        <f t="shared" si="1459"/>
        <v>0</v>
      </c>
      <c r="V477" s="155">
        <f t="shared" si="1460"/>
        <v>0</v>
      </c>
      <c r="W477" s="156">
        <f t="shared" si="1461"/>
        <v>0</v>
      </c>
    </row>
    <row r="478" spans="1:23" ht="10.5" hidden="1" customHeight="1" x14ac:dyDescent="0.2">
      <c r="A478" s="11"/>
      <c r="B478" s="150">
        <f>COUNTA(Spieltag!K465:AA465)</f>
        <v>0</v>
      </c>
      <c r="C478" s="166">
        <f>Spieltag!A465</f>
        <v>42</v>
      </c>
      <c r="D478" s="21" t="str">
        <f>Spieltag!B465</f>
        <v>Florian Schock</v>
      </c>
      <c r="E478" s="151" t="str">
        <f>Spieltag!C465</f>
        <v>Torwart</v>
      </c>
      <c r="F478" s="152" t="s">
        <v>224</v>
      </c>
      <c r="G478" s="153"/>
      <c r="H478" s="154">
        <f t="shared" ref="H478" si="1462">IF(G478="x",10,0)</f>
        <v>0</v>
      </c>
      <c r="I478" s="153"/>
      <c r="J478" s="154">
        <f t="shared" ref="J478" si="1463">IF((I478="x"),-10,0)</f>
        <v>0</v>
      </c>
      <c r="K478" s="153"/>
      <c r="L478" s="154">
        <f t="shared" ref="L478" si="1464">IF((K478="x"),-20,0)</f>
        <v>0</v>
      </c>
      <c r="M478" s="153"/>
      <c r="N478" s="154">
        <f t="shared" ref="N478" si="1465">IF((M478="x"),-30,0)</f>
        <v>0</v>
      </c>
      <c r="O478" s="155">
        <f t="shared" si="1455"/>
        <v>20</v>
      </c>
      <c r="P478" s="155">
        <f t="shared" si="1456"/>
        <v>40</v>
      </c>
      <c r="Q478" s="155">
        <f t="shared" si="1457"/>
        <v>20</v>
      </c>
      <c r="R478" s="153"/>
      <c r="S478" s="154">
        <f t="shared" ref="S478" si="1466">R478*20</f>
        <v>0</v>
      </c>
      <c r="T478" s="153"/>
      <c r="U478" s="154">
        <f t="shared" ref="U478" si="1467">T478*-15</f>
        <v>0</v>
      </c>
      <c r="V478" s="155">
        <f t="shared" ref="V478" si="1468">IF(AND(R478=2),10,IF(R478=3,30,IF(R478=4,50,IF(R478=5,70,0))))</f>
        <v>0</v>
      </c>
      <c r="W478" s="156">
        <f t="shared" ref="W478" si="1469">IF(G478="x",H478+J478+L478+N478+O478+P478+Q478+S478+U478+V478,0)</f>
        <v>0</v>
      </c>
    </row>
    <row r="479" spans="1:23" ht="10.5" customHeight="1" x14ac:dyDescent="0.2">
      <c r="A479" s="11"/>
      <c r="B479" s="149">
        <f>COUNTA(Spieltag!K466:AA466)</f>
        <v>1</v>
      </c>
      <c r="C479" s="166">
        <f>Spieltag!A466</f>
        <v>2</v>
      </c>
      <c r="D479" s="21" t="str">
        <f>Spieltag!B466</f>
        <v>Waldemar Anton</v>
      </c>
      <c r="E479" s="12" t="str">
        <f>Spieltag!C466</f>
        <v>Abwehr</v>
      </c>
      <c r="F479" s="152" t="s">
        <v>224</v>
      </c>
      <c r="G479" s="14" t="s">
        <v>676</v>
      </c>
      <c r="H479" s="15">
        <f t="shared" ref="H479" si="1470">IF(G479="x",10,0)</f>
        <v>10</v>
      </c>
      <c r="I479" s="14"/>
      <c r="J479" s="15">
        <f t="shared" ref="J479" si="1471">IF((I479="x"),-10,0)</f>
        <v>0</v>
      </c>
      <c r="K479" s="14"/>
      <c r="L479" s="15">
        <f t="shared" ref="L479" si="1472">IF((K479="x"),-20,0)</f>
        <v>0</v>
      </c>
      <c r="M479" s="14"/>
      <c r="N479" s="15">
        <f t="shared" ref="N479" si="1473">IF((M479="x"),-30,0)</f>
        <v>0</v>
      </c>
      <c r="O479" s="16">
        <f t="shared" ref="O479:O487" si="1474">IF(AND($P$10&gt;$Q$10),20,IF($P$10=$Q$10,10,0))</f>
        <v>20</v>
      </c>
      <c r="P479" s="16">
        <f t="shared" ref="P479:P487" si="1475">IF(($P$10&lt;&gt;0),$P$10*10,-5)</f>
        <v>40</v>
      </c>
      <c r="Q479" s="16">
        <f t="shared" ref="Q479:Q487" si="1476">IF(($Q$10&lt;&gt;0),$Q$10*-10,15)</f>
        <v>15</v>
      </c>
      <c r="R479" s="14"/>
      <c r="S479" s="15">
        <f t="shared" ref="S479" si="1477">R479*15</f>
        <v>0</v>
      </c>
      <c r="T479" s="14"/>
      <c r="U479" s="15">
        <f t="shared" ref="U479" si="1478">T479*-15</f>
        <v>0</v>
      </c>
      <c r="V479" s="16">
        <f t="shared" ref="V479" si="1479">IF(AND(R479=2),10,IF(R479=3,30,IF(R479=4,50,IF(R479=5,70,0))))</f>
        <v>0</v>
      </c>
      <c r="W479" s="17">
        <f t="shared" ref="W479" si="1480">IF(G479="x",H479+J479+L479+N479+O479+P479+Q479+S479+U479+V479,0)</f>
        <v>85</v>
      </c>
    </row>
    <row r="480" spans="1:23" ht="10.5" hidden="1" customHeight="1" x14ac:dyDescent="0.2">
      <c r="A480" s="11"/>
      <c r="B480" s="149">
        <f>COUNTA(Spieltag!K467:AA467)</f>
        <v>0</v>
      </c>
      <c r="C480" s="166">
        <f>Spieltag!A467</f>
        <v>4</v>
      </c>
      <c r="D480" s="21" t="str">
        <f>Spieltag!B467</f>
        <v>Josha Vagnoman</v>
      </c>
      <c r="E480" s="12" t="str">
        <f>Spieltag!C467</f>
        <v>Abwehr</v>
      </c>
      <c r="F480" s="152" t="s">
        <v>224</v>
      </c>
      <c r="G480" s="14"/>
      <c r="H480" s="15">
        <f t="shared" ref="H480:H489" si="1481">IF(G480="x",10,0)</f>
        <v>0</v>
      </c>
      <c r="I480" s="14"/>
      <c r="J480" s="15">
        <f t="shared" ref="J480:J489" si="1482">IF((I480="x"),-10,0)</f>
        <v>0</v>
      </c>
      <c r="K480" s="14"/>
      <c r="L480" s="15">
        <f t="shared" ref="L480:L489" si="1483">IF((K480="x"),-20,0)</f>
        <v>0</v>
      </c>
      <c r="M480" s="14"/>
      <c r="N480" s="15">
        <f t="shared" ref="N480:N489" si="1484">IF((M480="x"),-30,0)</f>
        <v>0</v>
      </c>
      <c r="O480" s="16">
        <f t="shared" si="1474"/>
        <v>20</v>
      </c>
      <c r="P480" s="16">
        <f t="shared" si="1475"/>
        <v>40</v>
      </c>
      <c r="Q480" s="16">
        <f t="shared" si="1476"/>
        <v>15</v>
      </c>
      <c r="R480" s="14"/>
      <c r="S480" s="15">
        <f t="shared" ref="S480:S487" si="1485">R480*15</f>
        <v>0</v>
      </c>
      <c r="T480" s="14"/>
      <c r="U480" s="15">
        <f t="shared" ref="U480:U489" si="1486">T480*-15</f>
        <v>0</v>
      </c>
      <c r="V480" s="16">
        <f t="shared" ref="V480:V489" si="1487">IF(AND(R480=2),10,IF(R480=3,30,IF(R480=4,50,IF(R480=5,70,0))))</f>
        <v>0</v>
      </c>
      <c r="W480" s="17">
        <f t="shared" ref="W480:W489" si="1488">IF(G480="x",H480+J480+L480+N480+O480+P480+Q480+S480+U480+V480,0)</f>
        <v>0</v>
      </c>
    </row>
    <row r="481" spans="1:23" ht="10.5" customHeight="1" x14ac:dyDescent="0.2">
      <c r="A481" s="11"/>
      <c r="B481" s="149">
        <f>COUNTA(Spieltag!K468:AA468)</f>
        <v>2</v>
      </c>
      <c r="C481" s="166">
        <f>Spieltag!A468</f>
        <v>7</v>
      </c>
      <c r="D481" s="21" t="str">
        <f>Spieltag!B468</f>
        <v>Maximilian Mittelstädt</v>
      </c>
      <c r="E481" s="12" t="str">
        <f>Spieltag!C468</f>
        <v>Abwehr</v>
      </c>
      <c r="F481" s="152" t="s">
        <v>224</v>
      </c>
      <c r="G481" s="14" t="s">
        <v>676</v>
      </c>
      <c r="H481" s="15">
        <f t="shared" si="1481"/>
        <v>10</v>
      </c>
      <c r="I481" s="14"/>
      <c r="J481" s="15">
        <f t="shared" si="1482"/>
        <v>0</v>
      </c>
      <c r="K481" s="14"/>
      <c r="L481" s="15">
        <f t="shared" si="1483"/>
        <v>0</v>
      </c>
      <c r="M481" s="14"/>
      <c r="N481" s="15">
        <f t="shared" si="1484"/>
        <v>0</v>
      </c>
      <c r="O481" s="16">
        <f t="shared" si="1474"/>
        <v>20</v>
      </c>
      <c r="P481" s="16">
        <f t="shared" si="1475"/>
        <v>40</v>
      </c>
      <c r="Q481" s="16">
        <f t="shared" si="1476"/>
        <v>15</v>
      </c>
      <c r="R481" s="14"/>
      <c r="S481" s="15">
        <f t="shared" si="1485"/>
        <v>0</v>
      </c>
      <c r="T481" s="14"/>
      <c r="U481" s="15">
        <f t="shared" si="1486"/>
        <v>0</v>
      </c>
      <c r="V481" s="16">
        <f t="shared" si="1487"/>
        <v>0</v>
      </c>
      <c r="W481" s="17">
        <f t="shared" si="1488"/>
        <v>85</v>
      </c>
    </row>
    <row r="482" spans="1:23" ht="10.5" hidden="1" customHeight="1" x14ac:dyDescent="0.2">
      <c r="A482" s="11"/>
      <c r="B482" s="149">
        <f>COUNTA(Spieltag!K469:AA469)</f>
        <v>0</v>
      </c>
      <c r="C482" s="166">
        <f>Spieltag!A469</f>
        <v>15</v>
      </c>
      <c r="D482" s="21" t="str">
        <f>Spieltag!B469</f>
        <v>Pascal Stenzel</v>
      </c>
      <c r="E482" s="12" t="str">
        <f>Spieltag!C469</f>
        <v>Abwehr</v>
      </c>
      <c r="F482" s="152" t="s">
        <v>224</v>
      </c>
      <c r="G482" s="14"/>
      <c r="H482" s="15">
        <f t="shared" si="1481"/>
        <v>0</v>
      </c>
      <c r="I482" s="14"/>
      <c r="J482" s="15">
        <f t="shared" si="1482"/>
        <v>0</v>
      </c>
      <c r="K482" s="14"/>
      <c r="L482" s="15">
        <f t="shared" si="1483"/>
        <v>0</v>
      </c>
      <c r="M482" s="14"/>
      <c r="N482" s="15">
        <f t="shared" si="1484"/>
        <v>0</v>
      </c>
      <c r="O482" s="16">
        <f t="shared" si="1474"/>
        <v>20</v>
      </c>
      <c r="P482" s="16">
        <f t="shared" si="1475"/>
        <v>40</v>
      </c>
      <c r="Q482" s="16">
        <f t="shared" si="1476"/>
        <v>15</v>
      </c>
      <c r="R482" s="14"/>
      <c r="S482" s="15">
        <f t="shared" si="1485"/>
        <v>0</v>
      </c>
      <c r="T482" s="14"/>
      <c r="U482" s="15">
        <f t="shared" si="1486"/>
        <v>0</v>
      </c>
      <c r="V482" s="16">
        <f t="shared" si="1487"/>
        <v>0</v>
      </c>
      <c r="W482" s="17">
        <f t="shared" si="1488"/>
        <v>0</v>
      </c>
    </row>
    <row r="483" spans="1:23" ht="10.5" hidden="1" customHeight="1" x14ac:dyDescent="0.2">
      <c r="A483" s="11"/>
      <c r="B483" s="149">
        <f>COUNTA(Spieltag!K470:AA470)</f>
        <v>0</v>
      </c>
      <c r="C483" s="166">
        <f>Spieltag!A470</f>
        <v>20</v>
      </c>
      <c r="D483" s="21" t="str">
        <f>Spieltag!B470</f>
        <v>Leonidas Stergiou (A)</v>
      </c>
      <c r="E483" s="12" t="str">
        <f>Spieltag!C470</f>
        <v>Abwehr</v>
      </c>
      <c r="F483" s="152" t="s">
        <v>224</v>
      </c>
      <c r="G483" s="14"/>
      <c r="H483" s="15">
        <f>IF(G483="x",10,0)</f>
        <v>0</v>
      </c>
      <c r="I483" s="14"/>
      <c r="J483" s="15">
        <f>IF((I483="x"),-10,0)</f>
        <v>0</v>
      </c>
      <c r="K483" s="14"/>
      <c r="L483" s="15">
        <f>IF((K483="x"),-20,0)</f>
        <v>0</v>
      </c>
      <c r="M483" s="14"/>
      <c r="N483" s="15">
        <f>IF((M483="x"),-30,0)</f>
        <v>0</v>
      </c>
      <c r="O483" s="16">
        <f t="shared" si="1474"/>
        <v>20</v>
      </c>
      <c r="P483" s="16">
        <f t="shared" si="1475"/>
        <v>40</v>
      </c>
      <c r="Q483" s="16">
        <f t="shared" si="1476"/>
        <v>15</v>
      </c>
      <c r="R483" s="14"/>
      <c r="S483" s="15">
        <f>R483*15</f>
        <v>0</v>
      </c>
      <c r="T483" s="14"/>
      <c r="U483" s="15">
        <f>T483*-15</f>
        <v>0</v>
      </c>
      <c r="V483" s="16">
        <f>IF(AND(R483=2),10,IF(R483=3,30,IF(R483=4,50,IF(R483=5,70,0))))</f>
        <v>0</v>
      </c>
      <c r="W483" s="17">
        <f>IF(G483="x",H483+J483+L483+N483+O483+P483+Q483+S483+U483+V483,0)</f>
        <v>0</v>
      </c>
    </row>
    <row r="484" spans="1:23" ht="10.5" hidden="1" customHeight="1" x14ac:dyDescent="0.2">
      <c r="A484" s="11"/>
      <c r="B484" s="149">
        <f>COUNTA(Spieltag!K471:AA471)</f>
        <v>0</v>
      </c>
      <c r="C484" s="166">
        <f>Spieltag!A471</f>
        <v>21</v>
      </c>
      <c r="D484" s="21" t="str">
        <f>Spieltag!B471</f>
        <v>Hikori Ito (A)</v>
      </c>
      <c r="E484" s="12" t="str">
        <f>Spieltag!C471</f>
        <v>Abwehr</v>
      </c>
      <c r="F484" s="152" t="s">
        <v>224</v>
      </c>
      <c r="G484" s="14"/>
      <c r="H484" s="15">
        <f t="shared" si="1481"/>
        <v>0</v>
      </c>
      <c r="I484" s="14"/>
      <c r="J484" s="15">
        <f t="shared" si="1482"/>
        <v>0</v>
      </c>
      <c r="K484" s="14"/>
      <c r="L484" s="15">
        <f t="shared" si="1483"/>
        <v>0</v>
      </c>
      <c r="M484" s="14"/>
      <c r="N484" s="15">
        <f t="shared" si="1484"/>
        <v>0</v>
      </c>
      <c r="O484" s="16">
        <f t="shared" si="1474"/>
        <v>20</v>
      </c>
      <c r="P484" s="16">
        <f t="shared" si="1475"/>
        <v>40</v>
      </c>
      <c r="Q484" s="16">
        <f t="shared" si="1476"/>
        <v>15</v>
      </c>
      <c r="R484" s="14"/>
      <c r="S484" s="15">
        <f t="shared" si="1485"/>
        <v>0</v>
      </c>
      <c r="T484" s="14"/>
      <c r="U484" s="15">
        <f t="shared" si="1486"/>
        <v>0</v>
      </c>
      <c r="V484" s="16">
        <f t="shared" si="1487"/>
        <v>0</v>
      </c>
      <c r="W484" s="17">
        <f t="shared" si="1488"/>
        <v>0</v>
      </c>
    </row>
    <row r="485" spans="1:23" ht="10.5" hidden="1" customHeight="1" x14ac:dyDescent="0.2">
      <c r="A485" s="11"/>
      <c r="B485" s="149">
        <f>COUNTA(Spieltag!K472:AA472)</f>
        <v>0</v>
      </c>
      <c r="C485" s="166">
        <f>Spieltag!A472</f>
        <v>23</v>
      </c>
      <c r="D485" s="21" t="str">
        <f>Spieltag!B472</f>
        <v>Dan-Axel Zagadou (A)</v>
      </c>
      <c r="E485" s="12" t="str">
        <f>Spieltag!C472</f>
        <v>Abwehr</v>
      </c>
      <c r="F485" s="152" t="s">
        <v>224</v>
      </c>
      <c r="G485" s="14"/>
      <c r="H485" s="15">
        <f t="shared" si="1481"/>
        <v>0</v>
      </c>
      <c r="I485" s="14"/>
      <c r="J485" s="15">
        <f t="shared" si="1482"/>
        <v>0</v>
      </c>
      <c r="K485" s="14"/>
      <c r="L485" s="15">
        <f t="shared" si="1483"/>
        <v>0</v>
      </c>
      <c r="M485" s="14"/>
      <c r="N485" s="15">
        <f t="shared" si="1484"/>
        <v>0</v>
      </c>
      <c r="O485" s="16">
        <f t="shared" si="1474"/>
        <v>20</v>
      </c>
      <c r="P485" s="16">
        <f t="shared" si="1475"/>
        <v>40</v>
      </c>
      <c r="Q485" s="16">
        <f t="shared" si="1476"/>
        <v>15</v>
      </c>
      <c r="R485" s="14"/>
      <c r="S485" s="15">
        <f t="shared" si="1485"/>
        <v>0</v>
      </c>
      <c r="T485" s="14"/>
      <c r="U485" s="15">
        <f t="shared" si="1486"/>
        <v>0</v>
      </c>
      <c r="V485" s="16">
        <f t="shared" si="1487"/>
        <v>0</v>
      </c>
      <c r="W485" s="17">
        <f t="shared" si="1488"/>
        <v>0</v>
      </c>
    </row>
    <row r="486" spans="1:23" ht="10.5" hidden="1" customHeight="1" x14ac:dyDescent="0.2">
      <c r="A486" s="11"/>
      <c r="B486" s="149">
        <f>COUNTA(Spieltag!K473:AA473)</f>
        <v>0</v>
      </c>
      <c r="C486" s="166">
        <f>Spieltag!A473</f>
        <v>29</v>
      </c>
      <c r="D486" s="21" t="str">
        <f>Spieltag!B473</f>
        <v>Anthony Rouault (A)</v>
      </c>
      <c r="E486" s="12" t="str">
        <f>Spieltag!C473</f>
        <v>Abwehr</v>
      </c>
      <c r="F486" s="152" t="s">
        <v>224</v>
      </c>
      <c r="G486" s="14"/>
      <c r="H486" s="15">
        <f t="shared" ref="H486" si="1489">IF(G486="x",10,0)</f>
        <v>0</v>
      </c>
      <c r="I486" s="14"/>
      <c r="J486" s="15">
        <f t="shared" ref="J486" si="1490">IF((I486="x"),-10,0)</f>
        <v>0</v>
      </c>
      <c r="K486" s="14"/>
      <c r="L486" s="15">
        <f t="shared" ref="L486" si="1491">IF((K486="x"),-20,0)</f>
        <v>0</v>
      </c>
      <c r="M486" s="14"/>
      <c r="N486" s="15">
        <f t="shared" ref="N486" si="1492">IF((M486="x"),-30,0)</f>
        <v>0</v>
      </c>
      <c r="O486" s="16">
        <f t="shared" si="1474"/>
        <v>20</v>
      </c>
      <c r="P486" s="16">
        <f t="shared" si="1475"/>
        <v>40</v>
      </c>
      <c r="Q486" s="16">
        <f t="shared" si="1476"/>
        <v>15</v>
      </c>
      <c r="R486" s="14"/>
      <c r="S486" s="15">
        <f t="shared" ref="S486" si="1493">R486*15</f>
        <v>0</v>
      </c>
      <c r="T486" s="14"/>
      <c r="U486" s="15">
        <f t="shared" ref="U486" si="1494">T486*-15</f>
        <v>0</v>
      </c>
      <c r="V486" s="16">
        <f t="shared" ref="V486" si="1495">IF(AND(R486=2),10,IF(R486=3,30,IF(R486=4,50,IF(R486=5,70,0))))</f>
        <v>0</v>
      </c>
      <c r="W486" s="17">
        <f t="shared" ref="W486" si="1496">IF(G486="x",H486+J486+L486+N486+O486+P486+Q486+S486+U486+V486,0)</f>
        <v>0</v>
      </c>
    </row>
    <row r="487" spans="1:23" ht="10.5" hidden="1" customHeight="1" x14ac:dyDescent="0.2">
      <c r="A487" s="11"/>
      <c r="B487" s="149">
        <f>COUNTA(Spieltag!K474:AA474)</f>
        <v>0</v>
      </c>
      <c r="C487" s="166">
        <f>Spieltag!A474</f>
        <v>49</v>
      </c>
      <c r="D487" s="21" t="str">
        <f>Spieltag!B474</f>
        <v>Moussa Cissé (A)</v>
      </c>
      <c r="E487" s="12" t="str">
        <f>Spieltag!C474</f>
        <v>Abwehr</v>
      </c>
      <c r="F487" s="152" t="s">
        <v>224</v>
      </c>
      <c r="G487" s="14"/>
      <c r="H487" s="15">
        <f t="shared" si="1481"/>
        <v>0</v>
      </c>
      <c r="I487" s="14"/>
      <c r="J487" s="15">
        <f t="shared" si="1482"/>
        <v>0</v>
      </c>
      <c r="K487" s="14"/>
      <c r="L487" s="15">
        <f t="shared" si="1483"/>
        <v>0</v>
      </c>
      <c r="M487" s="14"/>
      <c r="N487" s="15">
        <f t="shared" si="1484"/>
        <v>0</v>
      </c>
      <c r="O487" s="16">
        <f t="shared" si="1474"/>
        <v>20</v>
      </c>
      <c r="P487" s="16">
        <f t="shared" si="1475"/>
        <v>40</v>
      </c>
      <c r="Q487" s="16">
        <f t="shared" si="1476"/>
        <v>15</v>
      </c>
      <c r="R487" s="14"/>
      <c r="S487" s="15">
        <f t="shared" si="1485"/>
        <v>0</v>
      </c>
      <c r="T487" s="14"/>
      <c r="U487" s="15">
        <f t="shared" si="1486"/>
        <v>0</v>
      </c>
      <c r="V487" s="16">
        <f t="shared" si="1487"/>
        <v>0</v>
      </c>
      <c r="W487" s="17">
        <f t="shared" si="1488"/>
        <v>0</v>
      </c>
    </row>
    <row r="488" spans="1:23" ht="10.5" hidden="1" customHeight="1" x14ac:dyDescent="0.2">
      <c r="A488" s="11"/>
      <c r="B488" s="149">
        <f>COUNTA(Spieltag!K475:AA475)</f>
        <v>0</v>
      </c>
      <c r="C488" s="166">
        <f>Spieltag!A475</f>
        <v>5</v>
      </c>
      <c r="D488" s="21" t="str">
        <f>Spieltag!B475</f>
        <v>Mahmoud Dahoud</v>
      </c>
      <c r="E488" s="12" t="str">
        <f>Spieltag!C475</f>
        <v>Mittelfeld</v>
      </c>
      <c r="F488" s="152" t="s">
        <v>224</v>
      </c>
      <c r="G488" s="14"/>
      <c r="H488" s="15">
        <f t="shared" ref="H488" si="1497">IF(G488="x",10,0)</f>
        <v>0</v>
      </c>
      <c r="I488" s="14"/>
      <c r="J488" s="15">
        <f t="shared" ref="J488" si="1498">IF((I488="x"),-10,0)</f>
        <v>0</v>
      </c>
      <c r="K488" s="14"/>
      <c r="L488" s="15">
        <f t="shared" ref="L488" si="1499">IF((K488="x"),-20,0)</f>
        <v>0</v>
      </c>
      <c r="M488" s="14"/>
      <c r="N488" s="15">
        <f t="shared" ref="N488" si="1500">IF((M488="x"),-30,0)</f>
        <v>0</v>
      </c>
      <c r="O488" s="16">
        <f t="shared" ref="O488:O501" si="1501">IF(AND($P$10&gt;$Q$10),20,IF($P$10=$Q$10,10,0))</f>
        <v>20</v>
      </c>
      <c r="P488" s="16">
        <f t="shared" ref="P488:P501" si="1502">IF(($P$10&lt;&gt;0),$P$10*10,-5)</f>
        <v>40</v>
      </c>
      <c r="Q488" s="16">
        <f t="shared" ref="Q488:Q501" si="1503">IF(($Q$10&lt;&gt;0),$Q$10*-10,10)</f>
        <v>10</v>
      </c>
      <c r="R488" s="14"/>
      <c r="S488" s="15">
        <f t="shared" ref="S488" si="1504">R488*10</f>
        <v>0</v>
      </c>
      <c r="T488" s="14"/>
      <c r="U488" s="15">
        <f t="shared" ref="U488" si="1505">T488*-15</f>
        <v>0</v>
      </c>
      <c r="V488" s="16">
        <f t="shared" ref="V488" si="1506">IF(AND(R488=2),10,IF(R488=3,30,IF(R488=4,50,IF(R488=5,70,0))))</f>
        <v>0</v>
      </c>
      <c r="W488" s="17">
        <f t="shared" ref="W488" si="1507">IF(G488="x",H488+J488+L488+N488+O488+P488+Q488+S488+U488+V488,0)</f>
        <v>0</v>
      </c>
    </row>
    <row r="489" spans="1:23" ht="10.5" customHeight="1" x14ac:dyDescent="0.2">
      <c r="A489" s="11"/>
      <c r="B489" s="149">
        <f>COUNTA(Spieltag!K476:AA476)</f>
        <v>1</v>
      </c>
      <c r="C489" s="166">
        <f>Spieltag!A476</f>
        <v>6</v>
      </c>
      <c r="D489" s="21" t="str">
        <f>Spieltag!B476</f>
        <v>Angelo Stiller</v>
      </c>
      <c r="E489" s="12" t="str">
        <f>Spieltag!C476</f>
        <v>Mittelfeld</v>
      </c>
      <c r="F489" s="152" t="s">
        <v>224</v>
      </c>
      <c r="G489" s="14" t="s">
        <v>676</v>
      </c>
      <c r="H489" s="15">
        <f t="shared" si="1481"/>
        <v>10</v>
      </c>
      <c r="I489" s="14"/>
      <c r="J489" s="15">
        <f t="shared" si="1482"/>
        <v>0</v>
      </c>
      <c r="K489" s="14"/>
      <c r="L489" s="15">
        <f t="shared" si="1483"/>
        <v>0</v>
      </c>
      <c r="M489" s="14"/>
      <c r="N489" s="15">
        <f t="shared" si="1484"/>
        <v>0</v>
      </c>
      <c r="O489" s="16">
        <f t="shared" si="1501"/>
        <v>20</v>
      </c>
      <c r="P489" s="16">
        <f t="shared" si="1502"/>
        <v>40</v>
      </c>
      <c r="Q489" s="16">
        <f t="shared" si="1503"/>
        <v>10</v>
      </c>
      <c r="R489" s="14"/>
      <c r="S489" s="15">
        <f t="shared" ref="S489" si="1508">R489*10</f>
        <v>0</v>
      </c>
      <c r="T489" s="14"/>
      <c r="U489" s="15">
        <f t="shared" si="1486"/>
        <v>0</v>
      </c>
      <c r="V489" s="16">
        <f t="shared" si="1487"/>
        <v>0</v>
      </c>
      <c r="W489" s="17">
        <f t="shared" si="1488"/>
        <v>80</v>
      </c>
    </row>
    <row r="490" spans="1:23" ht="10.5" hidden="1" customHeight="1" x14ac:dyDescent="0.2">
      <c r="A490" s="11"/>
      <c r="B490" s="149">
        <f>COUNTA(Spieltag!K477:AA477)</f>
        <v>0</v>
      </c>
      <c r="C490" s="166">
        <f>Spieltag!A477</f>
        <v>8</v>
      </c>
      <c r="D490" s="21" t="str">
        <f>Spieltag!B477</f>
        <v>Enzo Millot (A)</v>
      </c>
      <c r="E490" s="12" t="str">
        <f>Spieltag!C477</f>
        <v>Mittelfeld</v>
      </c>
      <c r="F490" s="152" t="s">
        <v>224</v>
      </c>
      <c r="G490" s="14"/>
      <c r="H490" s="15">
        <f t="shared" ref="H490:H501" si="1509">IF(G490="x",10,0)</f>
        <v>0</v>
      </c>
      <c r="I490" s="14"/>
      <c r="J490" s="15">
        <f t="shared" ref="J490:J501" si="1510">IF((I490="x"),-10,0)</f>
        <v>0</v>
      </c>
      <c r="K490" s="14"/>
      <c r="L490" s="15">
        <f t="shared" ref="L490:L501" si="1511">IF((K490="x"),-20,0)</f>
        <v>0</v>
      </c>
      <c r="M490" s="14"/>
      <c r="N490" s="15">
        <f t="shared" ref="N490:N501" si="1512">IF((M490="x"),-30,0)</f>
        <v>0</v>
      </c>
      <c r="O490" s="16">
        <f t="shared" si="1501"/>
        <v>20</v>
      </c>
      <c r="P490" s="16">
        <f t="shared" si="1502"/>
        <v>40</v>
      </c>
      <c r="Q490" s="16">
        <f t="shared" si="1503"/>
        <v>10</v>
      </c>
      <c r="R490" s="14"/>
      <c r="S490" s="15">
        <f t="shared" ref="S490:S501" si="1513">R490*10</f>
        <v>0</v>
      </c>
      <c r="T490" s="14"/>
      <c r="U490" s="15">
        <f t="shared" ref="U490:U501" si="1514">T490*-15</f>
        <v>0</v>
      </c>
      <c r="V490" s="16">
        <f t="shared" ref="V490:V501" si="1515">IF(AND(R490=2),10,IF(R490=3,30,IF(R490=4,50,IF(R490=5,70,0))))</f>
        <v>0</v>
      </c>
      <c r="W490" s="17">
        <f t="shared" ref="W490:W501" si="1516">IF(G490="x",H490+J490+L490+N490+O490+P490+Q490+S490+U490+V490,0)</f>
        <v>0</v>
      </c>
    </row>
    <row r="491" spans="1:23" ht="10.5" hidden="1" customHeight="1" x14ac:dyDescent="0.2">
      <c r="A491" s="11"/>
      <c r="B491" s="149">
        <f>COUNTA(Spieltag!K478:AA478)</f>
        <v>0</v>
      </c>
      <c r="C491" s="166">
        <f>Spieltag!A478</f>
        <v>10</v>
      </c>
      <c r="D491" s="21" t="str">
        <f>Spieltag!B478</f>
        <v>Wooyeong Jeong (A)</v>
      </c>
      <c r="E491" s="12" t="str">
        <f>Spieltag!C478</f>
        <v>Mittelfeld</v>
      </c>
      <c r="F491" s="152" t="s">
        <v>224</v>
      </c>
      <c r="G491" s="14"/>
      <c r="H491" s="15">
        <f t="shared" si="1509"/>
        <v>0</v>
      </c>
      <c r="I491" s="14"/>
      <c r="J491" s="15">
        <f t="shared" si="1510"/>
        <v>0</v>
      </c>
      <c r="K491" s="14"/>
      <c r="L491" s="15">
        <f t="shared" si="1511"/>
        <v>0</v>
      </c>
      <c r="M491" s="14"/>
      <c r="N491" s="15">
        <f t="shared" si="1512"/>
        <v>0</v>
      </c>
      <c r="O491" s="16">
        <f t="shared" si="1501"/>
        <v>20</v>
      </c>
      <c r="P491" s="16">
        <f t="shared" si="1502"/>
        <v>40</v>
      </c>
      <c r="Q491" s="16">
        <f t="shared" si="1503"/>
        <v>10</v>
      </c>
      <c r="R491" s="14"/>
      <c r="S491" s="15">
        <f t="shared" si="1513"/>
        <v>0</v>
      </c>
      <c r="T491" s="14"/>
      <c r="U491" s="15">
        <f t="shared" si="1514"/>
        <v>0</v>
      </c>
      <c r="V491" s="16">
        <f t="shared" si="1515"/>
        <v>0</v>
      </c>
      <c r="W491" s="17">
        <f t="shared" si="1516"/>
        <v>0</v>
      </c>
    </row>
    <row r="492" spans="1:23" ht="10.5" hidden="1" customHeight="1" x14ac:dyDescent="0.2">
      <c r="A492" s="11"/>
      <c r="B492" s="149">
        <f>COUNTA(Spieltag!K479:AA479)</f>
        <v>0</v>
      </c>
      <c r="C492" s="166">
        <f>Spieltag!A479</f>
        <v>16</v>
      </c>
      <c r="D492" s="21" t="str">
        <f>Spieltag!B479</f>
        <v>Atakan Karazor</v>
      </c>
      <c r="E492" s="12" t="str">
        <f>Spieltag!C479</f>
        <v>Mittelfeld</v>
      </c>
      <c r="F492" s="152" t="s">
        <v>224</v>
      </c>
      <c r="G492" s="14"/>
      <c r="H492" s="15">
        <f>IF(G492="x",10,0)</f>
        <v>0</v>
      </c>
      <c r="I492" s="14"/>
      <c r="J492" s="15">
        <f>IF((I492="x"),-10,0)</f>
        <v>0</v>
      </c>
      <c r="K492" s="14"/>
      <c r="L492" s="15">
        <f>IF((K492="x"),-20,0)</f>
        <v>0</v>
      </c>
      <c r="M492" s="14"/>
      <c r="N492" s="15">
        <f>IF((M492="x"),-30,0)</f>
        <v>0</v>
      </c>
      <c r="O492" s="16">
        <f t="shared" si="1501"/>
        <v>20</v>
      </c>
      <c r="P492" s="16">
        <f t="shared" si="1502"/>
        <v>40</v>
      </c>
      <c r="Q492" s="16">
        <f t="shared" si="1503"/>
        <v>10</v>
      </c>
      <c r="R492" s="14"/>
      <c r="S492" s="15">
        <f>R492*10</f>
        <v>0</v>
      </c>
      <c r="T492" s="14"/>
      <c r="U492" s="15">
        <f>T492*-15</f>
        <v>0</v>
      </c>
      <c r="V492" s="16">
        <f>IF(AND(R492=2),10,IF(R492=3,30,IF(R492=4,50,IF(R492=5,70,0))))</f>
        <v>0</v>
      </c>
      <c r="W492" s="17">
        <f>IF(G492="x",H492+J492+L492+N492+O492+P492+Q492+S492+U492+V492,0)</f>
        <v>0</v>
      </c>
    </row>
    <row r="493" spans="1:23" ht="10.5" hidden="1" customHeight="1" x14ac:dyDescent="0.2">
      <c r="A493" s="11"/>
      <c r="B493" s="149">
        <f>COUNTA(Spieltag!K480:AA480)</f>
        <v>0</v>
      </c>
      <c r="C493" s="166">
        <f>Spieltag!A480</f>
        <v>17</v>
      </c>
      <c r="D493" s="21" t="str">
        <f>Spieltag!B480</f>
        <v>Genki Haraguchi (A)</v>
      </c>
      <c r="E493" s="12" t="str">
        <f>Spieltag!C480</f>
        <v>Mittelfeld</v>
      </c>
      <c r="F493" s="152" t="s">
        <v>224</v>
      </c>
      <c r="G493" s="14"/>
      <c r="H493" s="15">
        <f t="shared" si="1509"/>
        <v>0</v>
      </c>
      <c r="I493" s="14"/>
      <c r="J493" s="15">
        <f t="shared" si="1510"/>
        <v>0</v>
      </c>
      <c r="K493" s="14"/>
      <c r="L493" s="15">
        <f t="shared" si="1511"/>
        <v>0</v>
      </c>
      <c r="M493" s="14"/>
      <c r="N493" s="15">
        <f t="shared" si="1512"/>
        <v>0</v>
      </c>
      <c r="O493" s="16">
        <f t="shared" si="1501"/>
        <v>20</v>
      </c>
      <c r="P493" s="16">
        <f t="shared" si="1502"/>
        <v>40</v>
      </c>
      <c r="Q493" s="16">
        <f t="shared" si="1503"/>
        <v>10</v>
      </c>
      <c r="R493" s="14"/>
      <c r="S493" s="15">
        <f t="shared" si="1513"/>
        <v>0</v>
      </c>
      <c r="T493" s="14"/>
      <c r="U493" s="15">
        <f t="shared" si="1514"/>
        <v>0</v>
      </c>
      <c r="V493" s="16">
        <f t="shared" si="1515"/>
        <v>0</v>
      </c>
      <c r="W493" s="17">
        <f t="shared" si="1516"/>
        <v>0</v>
      </c>
    </row>
    <row r="494" spans="1:23" ht="10.5" hidden="1" customHeight="1" x14ac:dyDescent="0.2">
      <c r="A494" s="11"/>
      <c r="B494" s="149">
        <f>COUNTA(Spieltag!K481:AA481)</f>
        <v>0</v>
      </c>
      <c r="C494" s="166">
        <f>Spieltag!A481</f>
        <v>25</v>
      </c>
      <c r="D494" s="21" t="str">
        <f>Spieltag!B481</f>
        <v>Lilian Egloff</v>
      </c>
      <c r="E494" s="12" t="str">
        <f>Spieltag!C481</f>
        <v>Mittelfeld</v>
      </c>
      <c r="F494" s="152" t="s">
        <v>224</v>
      </c>
      <c r="G494" s="14"/>
      <c r="H494" s="15">
        <f t="shared" si="1509"/>
        <v>0</v>
      </c>
      <c r="I494" s="14"/>
      <c r="J494" s="15">
        <f t="shared" si="1510"/>
        <v>0</v>
      </c>
      <c r="K494" s="14"/>
      <c r="L494" s="15">
        <f t="shared" si="1511"/>
        <v>0</v>
      </c>
      <c r="M494" s="14"/>
      <c r="N494" s="15">
        <f t="shared" si="1512"/>
        <v>0</v>
      </c>
      <c r="O494" s="16">
        <f t="shared" si="1501"/>
        <v>20</v>
      </c>
      <c r="P494" s="16">
        <f t="shared" si="1502"/>
        <v>40</v>
      </c>
      <c r="Q494" s="16">
        <f t="shared" si="1503"/>
        <v>10</v>
      </c>
      <c r="R494" s="14"/>
      <c r="S494" s="15">
        <f t="shared" si="1513"/>
        <v>0</v>
      </c>
      <c r="T494" s="14"/>
      <c r="U494" s="15">
        <f t="shared" si="1514"/>
        <v>0</v>
      </c>
      <c r="V494" s="16">
        <f t="shared" si="1515"/>
        <v>0</v>
      </c>
      <c r="W494" s="17">
        <f t="shared" si="1516"/>
        <v>0</v>
      </c>
    </row>
    <row r="495" spans="1:23" ht="10.5" customHeight="1" x14ac:dyDescent="0.2">
      <c r="A495" s="11"/>
      <c r="B495" s="149">
        <f>COUNTA(Spieltag!K482:AA482)</f>
        <v>5</v>
      </c>
      <c r="C495" s="166">
        <f>Spieltag!A482</f>
        <v>27</v>
      </c>
      <c r="D495" s="21" t="str">
        <f>Spieltag!B482</f>
        <v>Chris Führich</v>
      </c>
      <c r="E495" s="12" t="str">
        <f>Spieltag!C482</f>
        <v>Mittelfeld</v>
      </c>
      <c r="F495" s="152" t="s">
        <v>224</v>
      </c>
      <c r="G495" s="14" t="s">
        <v>676</v>
      </c>
      <c r="H495" s="15">
        <f t="shared" si="1509"/>
        <v>10</v>
      </c>
      <c r="I495" s="14"/>
      <c r="J495" s="15">
        <f t="shared" si="1510"/>
        <v>0</v>
      </c>
      <c r="K495" s="14"/>
      <c r="L495" s="15">
        <f t="shared" si="1511"/>
        <v>0</v>
      </c>
      <c r="M495" s="14"/>
      <c r="N495" s="15">
        <f t="shared" si="1512"/>
        <v>0</v>
      </c>
      <c r="O495" s="16">
        <f t="shared" si="1501"/>
        <v>20</v>
      </c>
      <c r="P495" s="16">
        <f t="shared" si="1502"/>
        <v>40</v>
      </c>
      <c r="Q495" s="16">
        <f t="shared" si="1503"/>
        <v>10</v>
      </c>
      <c r="R495" s="14"/>
      <c r="S495" s="15">
        <f t="shared" si="1513"/>
        <v>0</v>
      </c>
      <c r="T495" s="14"/>
      <c r="U495" s="15">
        <f t="shared" si="1514"/>
        <v>0</v>
      </c>
      <c r="V495" s="16">
        <f t="shared" si="1515"/>
        <v>0</v>
      </c>
      <c r="W495" s="17">
        <f t="shared" si="1516"/>
        <v>80</v>
      </c>
    </row>
    <row r="496" spans="1:23" ht="10.5" hidden="1" customHeight="1" x14ac:dyDescent="0.2">
      <c r="A496" s="11"/>
      <c r="B496" s="149">
        <f>COUNTA(Spieltag!K483:AA483)</f>
        <v>0</v>
      </c>
      <c r="C496" s="166">
        <f>Spieltag!A483</f>
        <v>28</v>
      </c>
      <c r="D496" s="21" t="str">
        <f>Spieltag!B483</f>
        <v>Nikolas Nartey (A)</v>
      </c>
      <c r="E496" s="12" t="str">
        <f>Spieltag!C483</f>
        <v>Mittelfeld</v>
      </c>
      <c r="F496" s="152" t="s">
        <v>224</v>
      </c>
      <c r="G496" s="14"/>
      <c r="H496" s="15">
        <f t="shared" si="1509"/>
        <v>0</v>
      </c>
      <c r="I496" s="14"/>
      <c r="J496" s="15">
        <f t="shared" si="1510"/>
        <v>0</v>
      </c>
      <c r="K496" s="14"/>
      <c r="L496" s="15">
        <f t="shared" si="1511"/>
        <v>0</v>
      </c>
      <c r="M496" s="14"/>
      <c r="N496" s="15">
        <f t="shared" si="1512"/>
        <v>0</v>
      </c>
      <c r="O496" s="16">
        <f t="shared" si="1501"/>
        <v>20</v>
      </c>
      <c r="P496" s="16">
        <f t="shared" si="1502"/>
        <v>40</v>
      </c>
      <c r="Q496" s="16">
        <f t="shared" si="1503"/>
        <v>10</v>
      </c>
      <c r="R496" s="14"/>
      <c r="S496" s="15">
        <f t="shared" si="1513"/>
        <v>0</v>
      </c>
      <c r="T496" s="14"/>
      <c r="U496" s="15">
        <f t="shared" si="1514"/>
        <v>0</v>
      </c>
      <c r="V496" s="16">
        <f t="shared" si="1515"/>
        <v>0</v>
      </c>
      <c r="W496" s="17">
        <f t="shared" si="1516"/>
        <v>0</v>
      </c>
    </row>
    <row r="497" spans="1:23" ht="10.5" hidden="1" customHeight="1" x14ac:dyDescent="0.2">
      <c r="A497" s="11"/>
      <c r="B497" s="149">
        <f>COUNTA(Spieltag!K484:AA484)</f>
        <v>0</v>
      </c>
      <c r="C497" s="166">
        <f>Spieltag!A484</f>
        <v>32</v>
      </c>
      <c r="D497" s="21" t="str">
        <f>Spieltag!B484</f>
        <v>Roberto Massimo</v>
      </c>
      <c r="E497" s="12" t="str">
        <f>Spieltag!C484</f>
        <v>Mittelfeld</v>
      </c>
      <c r="F497" s="152" t="s">
        <v>224</v>
      </c>
      <c r="G497" s="14"/>
      <c r="H497" s="15">
        <f t="shared" si="1509"/>
        <v>0</v>
      </c>
      <c r="I497" s="14"/>
      <c r="J497" s="15">
        <f t="shared" si="1510"/>
        <v>0</v>
      </c>
      <c r="K497" s="14"/>
      <c r="L497" s="15">
        <f t="shared" si="1511"/>
        <v>0</v>
      </c>
      <c r="M497" s="14"/>
      <c r="N497" s="15">
        <f t="shared" si="1512"/>
        <v>0</v>
      </c>
      <c r="O497" s="16">
        <f t="shared" si="1501"/>
        <v>20</v>
      </c>
      <c r="P497" s="16">
        <f t="shared" si="1502"/>
        <v>40</v>
      </c>
      <c r="Q497" s="16">
        <f t="shared" si="1503"/>
        <v>10</v>
      </c>
      <c r="R497" s="14"/>
      <c r="S497" s="15">
        <f t="shared" si="1513"/>
        <v>0</v>
      </c>
      <c r="T497" s="14"/>
      <c r="U497" s="15">
        <f t="shared" si="1514"/>
        <v>0</v>
      </c>
      <c r="V497" s="16">
        <f t="shared" si="1515"/>
        <v>0</v>
      </c>
      <c r="W497" s="17">
        <f t="shared" si="1516"/>
        <v>0</v>
      </c>
    </row>
    <row r="498" spans="1:23" ht="10.5" hidden="1" customHeight="1" x14ac:dyDescent="0.2">
      <c r="A498" s="11"/>
      <c r="B498" s="149">
        <f>COUNTA(Spieltag!K485:AA485)</f>
        <v>0</v>
      </c>
      <c r="C498" s="166">
        <f>Spieltag!A485</f>
        <v>36</v>
      </c>
      <c r="D498" s="21" t="str">
        <f>Spieltag!B485</f>
        <v>Laurin Ulrich</v>
      </c>
      <c r="E498" s="12" t="str">
        <f>Spieltag!C485</f>
        <v>Mittelfeld</v>
      </c>
      <c r="F498" s="152" t="s">
        <v>224</v>
      </c>
      <c r="G498" s="14"/>
      <c r="H498" s="15">
        <f t="shared" ref="H498:H500" si="1517">IF(G498="x",10,0)</f>
        <v>0</v>
      </c>
      <c r="I498" s="14"/>
      <c r="J498" s="15">
        <f t="shared" ref="J498:J500" si="1518">IF((I498="x"),-10,0)</f>
        <v>0</v>
      </c>
      <c r="K498" s="14"/>
      <c r="L498" s="15">
        <f t="shared" ref="L498:L500" si="1519">IF((K498="x"),-20,0)</f>
        <v>0</v>
      </c>
      <c r="M498" s="14"/>
      <c r="N498" s="15">
        <f t="shared" ref="N498:N500" si="1520">IF((M498="x"),-30,0)</f>
        <v>0</v>
      </c>
      <c r="O498" s="16">
        <f t="shared" si="1501"/>
        <v>20</v>
      </c>
      <c r="P498" s="16">
        <f t="shared" si="1502"/>
        <v>40</v>
      </c>
      <c r="Q498" s="16">
        <f t="shared" si="1503"/>
        <v>10</v>
      </c>
      <c r="R498" s="14"/>
      <c r="S498" s="15">
        <f t="shared" ref="S498:S500" si="1521">R498*10</f>
        <v>0</v>
      </c>
      <c r="T498" s="14"/>
      <c r="U498" s="15">
        <f t="shared" ref="U498:U500" si="1522">T498*-15</f>
        <v>0</v>
      </c>
      <c r="V498" s="16">
        <f t="shared" ref="V498:V500" si="1523">IF(AND(R498=2),10,IF(R498=3,30,IF(R498=4,50,IF(R498=5,70,0))))</f>
        <v>0</v>
      </c>
      <c r="W498" s="17">
        <f t="shared" ref="W498:W500" si="1524">IF(G498="x",H498+J498+L498+N498+O498+P498+Q498+S498+U498+V498,0)</f>
        <v>0</v>
      </c>
    </row>
    <row r="499" spans="1:23" ht="10.5" hidden="1" customHeight="1" x14ac:dyDescent="0.2">
      <c r="A499" s="11"/>
      <c r="B499" s="149">
        <f>COUNTA(Spieltag!K486:AA486)</f>
        <v>0</v>
      </c>
      <c r="C499" s="166">
        <f>Spieltag!A486</f>
        <v>40</v>
      </c>
      <c r="D499" s="21" t="str">
        <f>Spieltag!B486</f>
        <v>Luca Raimund</v>
      </c>
      <c r="E499" s="12" t="str">
        <f>Spieltag!C486</f>
        <v>Mittelfeld</v>
      </c>
      <c r="F499" s="152" t="s">
        <v>224</v>
      </c>
      <c r="G499" s="14"/>
      <c r="H499" s="15">
        <f t="shared" si="1517"/>
        <v>0</v>
      </c>
      <c r="I499" s="14"/>
      <c r="J499" s="15">
        <f t="shared" si="1518"/>
        <v>0</v>
      </c>
      <c r="K499" s="14"/>
      <c r="L499" s="15">
        <f t="shared" si="1519"/>
        <v>0</v>
      </c>
      <c r="M499" s="14"/>
      <c r="N499" s="15">
        <f t="shared" si="1520"/>
        <v>0</v>
      </c>
      <c r="O499" s="16">
        <f t="shared" si="1501"/>
        <v>20</v>
      </c>
      <c r="P499" s="16">
        <f t="shared" si="1502"/>
        <v>40</v>
      </c>
      <c r="Q499" s="16">
        <f t="shared" si="1503"/>
        <v>10</v>
      </c>
      <c r="R499" s="14"/>
      <c r="S499" s="15">
        <f t="shared" si="1521"/>
        <v>0</v>
      </c>
      <c r="T499" s="14"/>
      <c r="U499" s="15">
        <f t="shared" si="1522"/>
        <v>0</v>
      </c>
      <c r="V499" s="16">
        <f t="shared" si="1523"/>
        <v>0</v>
      </c>
      <c r="W499" s="17">
        <f t="shared" si="1524"/>
        <v>0</v>
      </c>
    </row>
    <row r="500" spans="1:23" ht="10.5" hidden="1" customHeight="1" x14ac:dyDescent="0.2">
      <c r="A500" s="11"/>
      <c r="B500" s="149">
        <f>COUNTA(Spieltag!K487:AA487)</f>
        <v>0</v>
      </c>
      <c r="C500" s="166">
        <f>Spieltag!A487</f>
        <v>43</v>
      </c>
      <c r="D500" s="21" t="str">
        <f>Spieltag!B487</f>
        <v>Raul Paula</v>
      </c>
      <c r="E500" s="12" t="str">
        <f>Spieltag!C487</f>
        <v>Mittelfeld</v>
      </c>
      <c r="F500" s="152" t="s">
        <v>224</v>
      </c>
      <c r="G500" s="14"/>
      <c r="H500" s="15">
        <f t="shared" si="1517"/>
        <v>0</v>
      </c>
      <c r="I500" s="14"/>
      <c r="J500" s="15">
        <f t="shared" si="1518"/>
        <v>0</v>
      </c>
      <c r="K500" s="14"/>
      <c r="L500" s="15">
        <f t="shared" si="1519"/>
        <v>0</v>
      </c>
      <c r="M500" s="14"/>
      <c r="N500" s="15">
        <f t="shared" si="1520"/>
        <v>0</v>
      </c>
      <c r="O500" s="16">
        <f t="shared" si="1501"/>
        <v>20</v>
      </c>
      <c r="P500" s="16">
        <f t="shared" si="1502"/>
        <v>40</v>
      </c>
      <c r="Q500" s="16">
        <f t="shared" si="1503"/>
        <v>10</v>
      </c>
      <c r="R500" s="14"/>
      <c r="S500" s="15">
        <f t="shared" si="1521"/>
        <v>0</v>
      </c>
      <c r="T500" s="14"/>
      <c r="U500" s="15">
        <f t="shared" si="1522"/>
        <v>0</v>
      </c>
      <c r="V500" s="16">
        <f t="shared" si="1523"/>
        <v>0</v>
      </c>
      <c r="W500" s="17">
        <f t="shared" si="1524"/>
        <v>0</v>
      </c>
    </row>
    <row r="501" spans="1:23" ht="10.5" hidden="1" customHeight="1" x14ac:dyDescent="0.2">
      <c r="A501" s="11"/>
      <c r="B501" s="149">
        <f>COUNTA(Spieltag!K488:AA488)</f>
        <v>0</v>
      </c>
      <c r="C501" s="166">
        <f>Spieltag!A488</f>
        <v>46</v>
      </c>
      <c r="D501" s="21" t="str">
        <f>Spieltag!B488</f>
        <v>Samuele Di Benedetto</v>
      </c>
      <c r="E501" s="12" t="str">
        <f>Spieltag!C488</f>
        <v>Mittelfeld</v>
      </c>
      <c r="F501" s="152" t="s">
        <v>224</v>
      </c>
      <c r="G501" s="14"/>
      <c r="H501" s="15">
        <f t="shared" si="1509"/>
        <v>0</v>
      </c>
      <c r="I501" s="14"/>
      <c r="J501" s="15">
        <f t="shared" si="1510"/>
        <v>0</v>
      </c>
      <c r="K501" s="14"/>
      <c r="L501" s="15">
        <f t="shared" si="1511"/>
        <v>0</v>
      </c>
      <c r="M501" s="14"/>
      <c r="N501" s="15">
        <f t="shared" si="1512"/>
        <v>0</v>
      </c>
      <c r="O501" s="16">
        <f t="shared" si="1501"/>
        <v>20</v>
      </c>
      <c r="P501" s="16">
        <f t="shared" si="1502"/>
        <v>40</v>
      </c>
      <c r="Q501" s="16">
        <f t="shared" si="1503"/>
        <v>10</v>
      </c>
      <c r="R501" s="14"/>
      <c r="S501" s="15">
        <f t="shared" si="1513"/>
        <v>0</v>
      </c>
      <c r="T501" s="14"/>
      <c r="U501" s="15">
        <f t="shared" si="1514"/>
        <v>0</v>
      </c>
      <c r="V501" s="16">
        <f t="shared" si="1515"/>
        <v>0</v>
      </c>
      <c r="W501" s="17">
        <f t="shared" si="1516"/>
        <v>0</v>
      </c>
    </row>
    <row r="502" spans="1:23" ht="10.5" customHeight="1" x14ac:dyDescent="0.2">
      <c r="A502" s="11"/>
      <c r="B502" s="149">
        <f>COUNTA(Spieltag!K489:AA489)</f>
        <v>6</v>
      </c>
      <c r="C502" s="166">
        <f>Spieltag!A489</f>
        <v>9</v>
      </c>
      <c r="D502" s="21" t="str">
        <f>Spieltag!B489</f>
        <v>Serhou Guirassy (A)</v>
      </c>
      <c r="E502" s="12" t="str">
        <f>Spieltag!C489</f>
        <v>Sturm</v>
      </c>
      <c r="F502" s="152" t="s">
        <v>224</v>
      </c>
      <c r="G502" s="14" t="s">
        <v>676</v>
      </c>
      <c r="H502" s="15">
        <f>IF(G502="x",10,0)</f>
        <v>10</v>
      </c>
      <c r="I502" s="14"/>
      <c r="J502" s="15">
        <f>IF((I502="x"),-10,0)</f>
        <v>0</v>
      </c>
      <c r="K502" s="14"/>
      <c r="L502" s="15">
        <f>IF((K502="x"),-20,0)</f>
        <v>0</v>
      </c>
      <c r="M502" s="14"/>
      <c r="N502" s="15">
        <f>IF((M502="x"),-30,0)</f>
        <v>0</v>
      </c>
      <c r="O502" s="16">
        <f t="shared" ref="O502:O506" si="1525">IF(AND($P$10&gt;$Q$10),20,IF($P$10=$Q$10,10,0))</f>
        <v>20</v>
      </c>
      <c r="P502" s="16">
        <f t="shared" ref="P502:P506" si="1526">IF(($P$10&lt;&gt;0),$P$10*10,-5)</f>
        <v>40</v>
      </c>
      <c r="Q502" s="16">
        <f t="shared" ref="Q502:Q506" si="1527">IF(($Q$10&lt;&gt;0),$Q$10*-10,5)</f>
        <v>5</v>
      </c>
      <c r="R502" s="14">
        <v>2</v>
      </c>
      <c r="S502" s="15">
        <f>R502*10</f>
        <v>20</v>
      </c>
      <c r="T502" s="14"/>
      <c r="U502" s="15">
        <f>T502*-15</f>
        <v>0</v>
      </c>
      <c r="V502" s="16">
        <f>IF(AND(R502=2),10,IF(R502=3,30,IF(R502=4,50,IF(R502=5,70,0))))</f>
        <v>10</v>
      </c>
      <c r="W502" s="17">
        <f>IF(G502="x",H502+J502+L502+N502+O502+P502+Q502+S502+U502+V502,0)</f>
        <v>105</v>
      </c>
    </row>
    <row r="503" spans="1:23" ht="10.5" hidden="1" customHeight="1" x14ac:dyDescent="0.2">
      <c r="A503" s="11"/>
      <c r="B503" s="149">
        <f>COUNTA(Spieltag!K490:AA490)</f>
        <v>0</v>
      </c>
      <c r="C503" s="166">
        <f>Spieltag!A490</f>
        <v>14</v>
      </c>
      <c r="D503" s="21" t="str">
        <f>Spieltag!B490</f>
        <v>Silas Katompa Mvumpa (A)</v>
      </c>
      <c r="E503" s="12" t="str">
        <f>Spieltag!C490</f>
        <v>Sturm</v>
      </c>
      <c r="F503" s="152" t="s">
        <v>224</v>
      </c>
      <c r="G503" s="14"/>
      <c r="H503" s="15">
        <f t="shared" ref="H503:H506" si="1528">IF(G503="x",10,0)</f>
        <v>0</v>
      </c>
      <c r="I503" s="14"/>
      <c r="J503" s="15">
        <f t="shared" ref="J503:J506" si="1529">IF((I503="x"),-10,0)</f>
        <v>0</v>
      </c>
      <c r="K503" s="14"/>
      <c r="L503" s="15">
        <f t="shared" ref="L503:L506" si="1530">IF((K503="x"),-20,0)</f>
        <v>0</v>
      </c>
      <c r="M503" s="14"/>
      <c r="N503" s="15">
        <f t="shared" ref="N503:N506" si="1531">IF((M503="x"),-30,0)</f>
        <v>0</v>
      </c>
      <c r="O503" s="16">
        <f t="shared" si="1525"/>
        <v>20</v>
      </c>
      <c r="P503" s="16">
        <f t="shared" si="1526"/>
        <v>40</v>
      </c>
      <c r="Q503" s="16">
        <f t="shared" si="1527"/>
        <v>5</v>
      </c>
      <c r="R503" s="14"/>
      <c r="S503" s="15">
        <f t="shared" ref="S503:S506" si="1532">R503*10</f>
        <v>0</v>
      </c>
      <c r="T503" s="14"/>
      <c r="U503" s="15">
        <f t="shared" ref="U503:U506" si="1533">T503*-15</f>
        <v>0</v>
      </c>
      <c r="V503" s="16">
        <f t="shared" ref="V503:V506" si="1534">IF(AND(R503=2),10,IF(R503=3,30,IF(R503=4,50,IF(R503=5,70,0))))</f>
        <v>0</v>
      </c>
      <c r="W503" s="17">
        <f t="shared" ref="W503:W506" si="1535">IF(G503="x",H503+J503+L503+N503+O503+P503+Q503+S503+U503+V503,0)</f>
        <v>0</v>
      </c>
    </row>
    <row r="504" spans="1:23" ht="10.5" hidden="1" customHeight="1" x14ac:dyDescent="0.2">
      <c r="A504" s="11"/>
      <c r="B504" s="149">
        <f>COUNTA(Spieltag!K491:AA491)</f>
        <v>0</v>
      </c>
      <c r="C504" s="166">
        <f>Spieltag!A491</f>
        <v>18</v>
      </c>
      <c r="D504" s="21" t="str">
        <f>Spieltag!B491</f>
        <v>Jamie Leweling</v>
      </c>
      <c r="E504" s="12" t="str">
        <f>Spieltag!C491</f>
        <v>Sturm</v>
      </c>
      <c r="F504" s="152" t="s">
        <v>224</v>
      </c>
      <c r="G504" s="14"/>
      <c r="H504" s="15">
        <f t="shared" si="1528"/>
        <v>0</v>
      </c>
      <c r="I504" s="14"/>
      <c r="J504" s="15">
        <f t="shared" si="1529"/>
        <v>0</v>
      </c>
      <c r="K504" s="14"/>
      <c r="L504" s="15">
        <f t="shared" si="1530"/>
        <v>0</v>
      </c>
      <c r="M504" s="14"/>
      <c r="N504" s="15">
        <f t="shared" si="1531"/>
        <v>0</v>
      </c>
      <c r="O504" s="16">
        <f t="shared" si="1525"/>
        <v>20</v>
      </c>
      <c r="P504" s="16">
        <f t="shared" si="1526"/>
        <v>40</v>
      </c>
      <c r="Q504" s="16">
        <f t="shared" si="1527"/>
        <v>5</v>
      </c>
      <c r="R504" s="14"/>
      <c r="S504" s="15">
        <f t="shared" si="1532"/>
        <v>0</v>
      </c>
      <c r="T504" s="14"/>
      <c r="U504" s="15">
        <f t="shared" si="1533"/>
        <v>0</v>
      </c>
      <c r="V504" s="16">
        <f t="shared" si="1534"/>
        <v>0</v>
      </c>
      <c r="W504" s="17">
        <f t="shared" si="1535"/>
        <v>0</v>
      </c>
    </row>
    <row r="505" spans="1:23" ht="10.5" hidden="1" customHeight="1" x14ac:dyDescent="0.2">
      <c r="A505" s="11"/>
      <c r="B505" s="149">
        <f>COUNTA(Spieltag!K492:AA492)</f>
        <v>0</v>
      </c>
      <c r="C505" s="166">
        <f>Spieltag!A492</f>
        <v>19</v>
      </c>
      <c r="D505" s="21" t="str">
        <f>Spieltag!B492</f>
        <v>Jovan Milošević (A)</v>
      </c>
      <c r="E505" s="12" t="str">
        <f>Spieltag!C492</f>
        <v>Sturm</v>
      </c>
      <c r="F505" s="152" t="s">
        <v>224</v>
      </c>
      <c r="G505" s="14"/>
      <c r="H505" s="15">
        <f t="shared" si="1528"/>
        <v>0</v>
      </c>
      <c r="I505" s="14"/>
      <c r="J505" s="15">
        <f t="shared" si="1529"/>
        <v>0</v>
      </c>
      <c r="K505" s="14"/>
      <c r="L505" s="15">
        <f t="shared" si="1530"/>
        <v>0</v>
      </c>
      <c r="M505" s="14"/>
      <c r="N505" s="15">
        <f t="shared" si="1531"/>
        <v>0</v>
      </c>
      <c r="O505" s="16">
        <f t="shared" si="1525"/>
        <v>20</v>
      </c>
      <c r="P505" s="16">
        <f t="shared" si="1526"/>
        <v>40</v>
      </c>
      <c r="Q505" s="16">
        <f t="shared" si="1527"/>
        <v>5</v>
      </c>
      <c r="R505" s="14"/>
      <c r="S505" s="15">
        <f t="shared" si="1532"/>
        <v>0</v>
      </c>
      <c r="T505" s="14"/>
      <c r="U505" s="15">
        <f t="shared" si="1533"/>
        <v>0</v>
      </c>
      <c r="V505" s="16">
        <f t="shared" si="1534"/>
        <v>0</v>
      </c>
      <c r="W505" s="17">
        <f t="shared" si="1535"/>
        <v>0</v>
      </c>
    </row>
    <row r="506" spans="1:23" ht="10.5" customHeight="1" x14ac:dyDescent="0.2">
      <c r="A506" s="11"/>
      <c r="B506" s="149">
        <f>COUNTA(Spieltag!K493:AA493)</f>
        <v>2</v>
      </c>
      <c r="C506" s="166">
        <f>Spieltag!A493</f>
        <v>26</v>
      </c>
      <c r="D506" s="21" t="str">
        <f>Spieltag!B493</f>
        <v>Deniz Undav</v>
      </c>
      <c r="E506" s="12" t="str">
        <f>Spieltag!C493</f>
        <v>Sturm</v>
      </c>
      <c r="F506" s="152" t="s">
        <v>224</v>
      </c>
      <c r="G506" s="14" t="s">
        <v>676</v>
      </c>
      <c r="H506" s="15">
        <f t="shared" si="1528"/>
        <v>10</v>
      </c>
      <c r="I506" s="14" t="s">
        <v>676</v>
      </c>
      <c r="J506" s="15">
        <f t="shared" si="1529"/>
        <v>-10</v>
      </c>
      <c r="K506" s="14"/>
      <c r="L506" s="15">
        <f t="shared" si="1530"/>
        <v>0</v>
      </c>
      <c r="M506" s="14"/>
      <c r="N506" s="15">
        <f t="shared" si="1531"/>
        <v>0</v>
      </c>
      <c r="O506" s="16">
        <f t="shared" si="1525"/>
        <v>20</v>
      </c>
      <c r="P506" s="16">
        <f t="shared" si="1526"/>
        <v>40</v>
      </c>
      <c r="Q506" s="16">
        <f t="shared" si="1527"/>
        <v>5</v>
      </c>
      <c r="R506" s="14"/>
      <c r="S506" s="15">
        <f t="shared" si="1532"/>
        <v>0</v>
      </c>
      <c r="T506" s="14"/>
      <c r="U506" s="15">
        <f t="shared" si="1533"/>
        <v>0</v>
      </c>
      <c r="V506" s="16">
        <f t="shared" si="1534"/>
        <v>0</v>
      </c>
      <c r="W506" s="17">
        <f t="shared" si="1535"/>
        <v>65</v>
      </c>
    </row>
    <row r="507" spans="1:23" s="144" customFormat="1" ht="17.25" hidden="1" thickBot="1" x14ac:dyDescent="0.25">
      <c r="A507" s="142"/>
      <c r="B507" s="143">
        <f>SUM(B508:B535)</f>
        <v>0</v>
      </c>
      <c r="C507" s="158"/>
      <c r="D507" s="221" t="s">
        <v>404</v>
      </c>
      <c r="E507" s="221"/>
      <c r="F507" s="221"/>
      <c r="G507" s="221"/>
      <c r="H507" s="221"/>
      <c r="I507" s="221"/>
      <c r="J507" s="221"/>
      <c r="K507" s="221"/>
      <c r="L507" s="221"/>
      <c r="M507" s="221"/>
      <c r="N507" s="221"/>
      <c r="O507" s="221"/>
      <c r="P507" s="221"/>
      <c r="Q507" s="221"/>
      <c r="R507" s="221"/>
      <c r="S507" s="221"/>
      <c r="T507" s="221"/>
      <c r="U507" s="221"/>
      <c r="V507" s="221"/>
      <c r="W507" s="222"/>
    </row>
    <row r="508" spans="1:23" ht="10.5" hidden="1" customHeight="1" x14ac:dyDescent="0.2">
      <c r="A508" s="11"/>
      <c r="B508" s="149">
        <f>COUNTA(Spieltag!K495:AA495)</f>
        <v>0</v>
      </c>
      <c r="C508" s="166">
        <f>Spieltag!A495</f>
        <v>1</v>
      </c>
      <c r="D508" s="21" t="str">
        <f>Spieltag!B495</f>
        <v>Kevin Müller</v>
      </c>
      <c r="E508" s="12" t="str">
        <f>Spieltag!C495</f>
        <v>Torwart</v>
      </c>
      <c r="F508" s="13" t="s">
        <v>618</v>
      </c>
      <c r="G508" s="14"/>
      <c r="H508" s="15">
        <f>IF(G508="x",10,0)</f>
        <v>0</v>
      </c>
      <c r="I508" s="14"/>
      <c r="J508" s="15">
        <f>IF((I508="x"),-10,0)</f>
        <v>0</v>
      </c>
      <c r="K508" s="14"/>
      <c r="L508" s="15">
        <f>IF((K508="x"),-20,0)</f>
        <v>0</v>
      </c>
      <c r="M508" s="14"/>
      <c r="N508" s="15">
        <f>IF((M508="x"),-30,0)</f>
        <v>0</v>
      </c>
      <c r="O508" s="16">
        <f t="shared" ref="O508:O519" si="1536">IF(AND($V$6&gt;$W$6),20,IF($V$6=$W$6,10,0))</f>
        <v>20</v>
      </c>
      <c r="P508" s="16">
        <f t="shared" ref="P508:P519" si="1537">IF(($V$6&lt;&gt;0),$V$6*10,-5)</f>
        <v>40</v>
      </c>
      <c r="Q508" s="16">
        <f>IF(($W$6&lt;&gt;0),$W$6*-10,20)</f>
        <v>-10</v>
      </c>
      <c r="R508" s="14"/>
      <c r="S508" s="15">
        <f>R508*20</f>
        <v>0</v>
      </c>
      <c r="T508" s="14"/>
      <c r="U508" s="15">
        <f>T508*-15</f>
        <v>0</v>
      </c>
      <c r="V508" s="16">
        <f>IF(AND(R508=2),10,IF(R508=3,30,IF(R508=4,50,IF(R508=5,70,0))))</f>
        <v>0</v>
      </c>
      <c r="W508" s="17">
        <f>IF(G508="x",H508+J508+L508+N508+O508+P508+Q508+S508+U508+V508,0)</f>
        <v>0</v>
      </c>
    </row>
    <row r="509" spans="1:23" ht="10.5" hidden="1" customHeight="1" x14ac:dyDescent="0.2">
      <c r="A509" s="11"/>
      <c r="B509" s="149">
        <f>COUNTA(Spieltag!K496:AA496)</f>
        <v>0</v>
      </c>
      <c r="C509" s="166">
        <f>Spieltag!A496</f>
        <v>22</v>
      </c>
      <c r="D509" s="21" t="str">
        <f>Spieltag!B496</f>
        <v>Vitus Eicher</v>
      </c>
      <c r="E509" s="12" t="str">
        <f>Spieltag!C496</f>
        <v>Torwart</v>
      </c>
      <c r="F509" s="13" t="s">
        <v>618</v>
      </c>
      <c r="G509" s="14"/>
      <c r="H509" s="15">
        <f t="shared" ref="H509:H511" si="1538">IF(G509="x",10,0)</f>
        <v>0</v>
      </c>
      <c r="I509" s="14"/>
      <c r="J509" s="15">
        <f t="shared" ref="J509:J511" si="1539">IF((I509="x"),-10,0)</f>
        <v>0</v>
      </c>
      <c r="K509" s="14"/>
      <c r="L509" s="15">
        <f t="shared" ref="L509:L511" si="1540">IF((K509="x"),-20,0)</f>
        <v>0</v>
      </c>
      <c r="M509" s="14"/>
      <c r="N509" s="15">
        <f t="shared" ref="N509:N511" si="1541">IF((M509="x"),-30,0)</f>
        <v>0</v>
      </c>
      <c r="O509" s="16">
        <f t="shared" si="1536"/>
        <v>20</v>
      </c>
      <c r="P509" s="16">
        <f t="shared" si="1537"/>
        <v>40</v>
      </c>
      <c r="Q509" s="16">
        <f t="shared" ref="Q509:Q511" si="1542">IF(($W$6&lt;&gt;0),$W$6*-10,20)</f>
        <v>-10</v>
      </c>
      <c r="R509" s="14"/>
      <c r="S509" s="15">
        <f t="shared" ref="S509:S511" si="1543">R509*20</f>
        <v>0</v>
      </c>
      <c r="T509" s="14"/>
      <c r="U509" s="15">
        <f t="shared" ref="U509:U511" si="1544">T509*-15</f>
        <v>0</v>
      </c>
      <c r="V509" s="16">
        <f t="shared" ref="V509:V511" si="1545">IF(AND(R509=2),10,IF(R509=3,30,IF(R509=4,50,IF(R509=5,70,0))))</f>
        <v>0</v>
      </c>
      <c r="W509" s="17">
        <f t="shared" ref="W509:W511" si="1546">IF(G509="x",H509+J509+L509+N509+O509+P509+Q509+S509+U509+V509,0)</f>
        <v>0</v>
      </c>
    </row>
    <row r="510" spans="1:23" ht="10.5" hidden="1" customHeight="1" x14ac:dyDescent="0.2">
      <c r="A510" s="11"/>
      <c r="B510" s="149">
        <f>COUNTA(Spieltag!K497:AA497)</f>
        <v>0</v>
      </c>
      <c r="C510" s="166">
        <f>Spieltag!A497</f>
        <v>34</v>
      </c>
      <c r="D510" s="21" t="str">
        <f>Spieltag!B497</f>
        <v>Paul Tschernuth (A)</v>
      </c>
      <c r="E510" s="12" t="str">
        <f>Spieltag!C497</f>
        <v>Torwart</v>
      </c>
      <c r="F510" s="13" t="s">
        <v>618</v>
      </c>
      <c r="G510" s="14"/>
      <c r="H510" s="15">
        <f t="shared" si="1538"/>
        <v>0</v>
      </c>
      <c r="I510" s="14"/>
      <c r="J510" s="15">
        <f t="shared" si="1539"/>
        <v>0</v>
      </c>
      <c r="K510" s="14"/>
      <c r="L510" s="15">
        <f t="shared" si="1540"/>
        <v>0</v>
      </c>
      <c r="M510" s="14"/>
      <c r="N510" s="15">
        <f t="shared" si="1541"/>
        <v>0</v>
      </c>
      <c r="O510" s="16">
        <f t="shared" si="1536"/>
        <v>20</v>
      </c>
      <c r="P510" s="16">
        <f t="shared" si="1537"/>
        <v>40</v>
      </c>
      <c r="Q510" s="16">
        <f t="shared" si="1542"/>
        <v>-10</v>
      </c>
      <c r="R510" s="14"/>
      <c r="S510" s="15">
        <f t="shared" si="1543"/>
        <v>0</v>
      </c>
      <c r="T510" s="14"/>
      <c r="U510" s="15">
        <f t="shared" si="1544"/>
        <v>0</v>
      </c>
      <c r="V510" s="16">
        <f t="shared" si="1545"/>
        <v>0</v>
      </c>
      <c r="W510" s="17">
        <f t="shared" si="1546"/>
        <v>0</v>
      </c>
    </row>
    <row r="511" spans="1:23" ht="10.5" hidden="1" customHeight="1" x14ac:dyDescent="0.2">
      <c r="A511" s="11"/>
      <c r="B511" s="149">
        <f>COUNTA(Spieltag!K498:AA498)</f>
        <v>0</v>
      </c>
      <c r="C511" s="166">
        <f>Spieltag!A498</f>
        <v>40</v>
      </c>
      <c r="D511" s="21" t="str">
        <f>Spieltag!B498</f>
        <v>Frank Feller</v>
      </c>
      <c r="E511" s="12" t="str">
        <f>Spieltag!C498</f>
        <v>Torwart</v>
      </c>
      <c r="F511" s="13" t="s">
        <v>618</v>
      </c>
      <c r="G511" s="14"/>
      <c r="H511" s="15">
        <f t="shared" si="1538"/>
        <v>0</v>
      </c>
      <c r="I511" s="14"/>
      <c r="J511" s="15">
        <f t="shared" si="1539"/>
        <v>0</v>
      </c>
      <c r="K511" s="14"/>
      <c r="L511" s="15">
        <f t="shared" si="1540"/>
        <v>0</v>
      </c>
      <c r="M511" s="14"/>
      <c r="N511" s="15">
        <f t="shared" si="1541"/>
        <v>0</v>
      </c>
      <c r="O511" s="16">
        <f t="shared" si="1536"/>
        <v>20</v>
      </c>
      <c r="P511" s="16">
        <f t="shared" si="1537"/>
        <v>40</v>
      </c>
      <c r="Q511" s="16">
        <f t="shared" si="1542"/>
        <v>-10</v>
      </c>
      <c r="R511" s="14"/>
      <c r="S511" s="15">
        <f t="shared" si="1543"/>
        <v>0</v>
      </c>
      <c r="T511" s="14"/>
      <c r="U511" s="15">
        <f t="shared" si="1544"/>
        <v>0</v>
      </c>
      <c r="V511" s="16">
        <f t="shared" si="1545"/>
        <v>0</v>
      </c>
      <c r="W511" s="17">
        <f t="shared" si="1546"/>
        <v>0</v>
      </c>
    </row>
    <row r="512" spans="1:23" ht="10.5" hidden="1" customHeight="1" x14ac:dyDescent="0.2">
      <c r="A512" s="11"/>
      <c r="B512" s="150">
        <f>COUNTA(Spieltag!K499:AA499)</f>
        <v>0</v>
      </c>
      <c r="C512" s="166">
        <f>Spieltag!A499</f>
        <v>2</v>
      </c>
      <c r="D512" s="21" t="str">
        <f>Spieltag!B499</f>
        <v>Marnon Busch</v>
      </c>
      <c r="E512" s="151" t="str">
        <f>Spieltag!C499</f>
        <v>Abwehr</v>
      </c>
      <c r="F512" s="152" t="s">
        <v>618</v>
      </c>
      <c r="G512" s="153"/>
      <c r="H512" s="154">
        <f t="shared" ref="H512" si="1547">IF(G512="x",10,0)</f>
        <v>0</v>
      </c>
      <c r="I512" s="153"/>
      <c r="J512" s="154">
        <f t="shared" ref="J512" si="1548">IF((I512="x"),-10,0)</f>
        <v>0</v>
      </c>
      <c r="K512" s="153"/>
      <c r="L512" s="154">
        <f t="shared" ref="L512" si="1549">IF((K512="x"),-20,0)</f>
        <v>0</v>
      </c>
      <c r="M512" s="153"/>
      <c r="N512" s="154">
        <f t="shared" ref="N512" si="1550">IF((M512="x"),-30,0)</f>
        <v>0</v>
      </c>
      <c r="O512" s="155">
        <f t="shared" si="1536"/>
        <v>20</v>
      </c>
      <c r="P512" s="155">
        <f t="shared" si="1537"/>
        <v>40</v>
      </c>
      <c r="Q512" s="155">
        <f t="shared" ref="Q512:Q519" si="1551">IF(($W$6&lt;&gt;0),$W$6*-10,15)</f>
        <v>-10</v>
      </c>
      <c r="R512" s="153"/>
      <c r="S512" s="154">
        <f t="shared" ref="S512" si="1552">R512*15</f>
        <v>0</v>
      </c>
      <c r="T512" s="153"/>
      <c r="U512" s="154">
        <f t="shared" ref="U512" si="1553">T512*-15</f>
        <v>0</v>
      </c>
      <c r="V512" s="155">
        <f t="shared" ref="V512" si="1554">IF(AND(R512=2),10,IF(R512=3,30,IF(R512=4,50,IF(R512=5,70,0))))</f>
        <v>0</v>
      </c>
      <c r="W512" s="156">
        <f t="shared" ref="W512" si="1555">IF(G512="x",H512+J512+L512+N512+O512+P512+Q512+S512+U512+V512,0)</f>
        <v>0</v>
      </c>
    </row>
    <row r="513" spans="1:23" ht="10.5" hidden="1" customHeight="1" x14ac:dyDescent="0.2">
      <c r="A513" s="11"/>
      <c r="B513" s="150">
        <f>COUNTA(Spieltag!K500:AA500)</f>
        <v>0</v>
      </c>
      <c r="C513" s="166">
        <f>Spieltag!A500</f>
        <v>4</v>
      </c>
      <c r="D513" s="21" t="str">
        <f>Spieltag!B500</f>
        <v>Tim Siersleben</v>
      </c>
      <c r="E513" s="151" t="str">
        <f>Spieltag!C500</f>
        <v>Abwehr</v>
      </c>
      <c r="F513" s="152" t="s">
        <v>618</v>
      </c>
      <c r="G513" s="153"/>
      <c r="H513" s="154">
        <f t="shared" ref="H513:H519" si="1556">IF(G513="x",10,0)</f>
        <v>0</v>
      </c>
      <c r="I513" s="153"/>
      <c r="J513" s="154">
        <f t="shared" ref="J513:J519" si="1557">IF((I513="x"),-10,0)</f>
        <v>0</v>
      </c>
      <c r="K513" s="153"/>
      <c r="L513" s="154">
        <f t="shared" ref="L513:L519" si="1558">IF((K513="x"),-20,0)</f>
        <v>0</v>
      </c>
      <c r="M513" s="153"/>
      <c r="N513" s="154">
        <f t="shared" ref="N513:N519" si="1559">IF((M513="x"),-30,0)</f>
        <v>0</v>
      </c>
      <c r="O513" s="155">
        <f t="shared" si="1536"/>
        <v>20</v>
      </c>
      <c r="P513" s="155">
        <f t="shared" si="1537"/>
        <v>40</v>
      </c>
      <c r="Q513" s="155">
        <f t="shared" si="1551"/>
        <v>-10</v>
      </c>
      <c r="R513" s="153"/>
      <c r="S513" s="154">
        <f t="shared" ref="S513:S519" si="1560">R513*15</f>
        <v>0</v>
      </c>
      <c r="T513" s="153"/>
      <c r="U513" s="154">
        <f t="shared" ref="U513:U519" si="1561">T513*-15</f>
        <v>0</v>
      </c>
      <c r="V513" s="155">
        <f t="shared" ref="V513:V519" si="1562">IF(AND(R513=2),10,IF(R513=3,30,IF(R513=4,50,IF(R513=5,70,0))))</f>
        <v>0</v>
      </c>
      <c r="W513" s="156">
        <f t="shared" ref="W513:W519" si="1563">IF(G513="x",H513+J513+L513+N513+O513+P513+Q513+S513+U513+V513,0)</f>
        <v>0</v>
      </c>
    </row>
    <row r="514" spans="1:23" ht="10.5" hidden="1" customHeight="1" x14ac:dyDescent="0.2">
      <c r="A514" s="11"/>
      <c r="B514" s="150">
        <f>COUNTA(Spieltag!K501:AA501)</f>
        <v>0</v>
      </c>
      <c r="C514" s="166">
        <f>Spieltag!A501</f>
        <v>6</v>
      </c>
      <c r="D514" s="21" t="str">
        <f>Spieltag!B501</f>
        <v>Patrick Mainka</v>
      </c>
      <c r="E514" s="151" t="str">
        <f>Spieltag!C501</f>
        <v>Abwehr</v>
      </c>
      <c r="F514" s="152" t="s">
        <v>618</v>
      </c>
      <c r="G514" s="153"/>
      <c r="H514" s="154">
        <f t="shared" si="1556"/>
        <v>0</v>
      </c>
      <c r="I514" s="153"/>
      <c r="J514" s="154">
        <f t="shared" si="1557"/>
        <v>0</v>
      </c>
      <c r="K514" s="153"/>
      <c r="L514" s="154">
        <f t="shared" si="1558"/>
        <v>0</v>
      </c>
      <c r="M514" s="153"/>
      <c r="N514" s="154">
        <f t="shared" si="1559"/>
        <v>0</v>
      </c>
      <c r="O514" s="155">
        <f t="shared" si="1536"/>
        <v>20</v>
      </c>
      <c r="P514" s="155">
        <f t="shared" si="1537"/>
        <v>40</v>
      </c>
      <c r="Q514" s="155">
        <f t="shared" si="1551"/>
        <v>-10</v>
      </c>
      <c r="R514" s="153"/>
      <c r="S514" s="154">
        <f t="shared" si="1560"/>
        <v>0</v>
      </c>
      <c r="T514" s="153"/>
      <c r="U514" s="154">
        <f t="shared" si="1561"/>
        <v>0</v>
      </c>
      <c r="V514" s="155">
        <f t="shared" si="1562"/>
        <v>0</v>
      </c>
      <c r="W514" s="156">
        <f t="shared" si="1563"/>
        <v>0</v>
      </c>
    </row>
    <row r="515" spans="1:23" ht="10.5" hidden="1" customHeight="1" x14ac:dyDescent="0.2">
      <c r="A515" s="11"/>
      <c r="B515" s="150">
        <f>COUNTA(Spieltag!K502:AA502)</f>
        <v>0</v>
      </c>
      <c r="C515" s="166">
        <f>Spieltag!A502</f>
        <v>19</v>
      </c>
      <c r="D515" s="21" t="str">
        <f>Spieltag!B502</f>
        <v>Jonas Föhrenbach</v>
      </c>
      <c r="E515" s="151" t="str">
        <f>Spieltag!C502</f>
        <v>Abwehr</v>
      </c>
      <c r="F515" s="152" t="s">
        <v>618</v>
      </c>
      <c r="G515" s="153"/>
      <c r="H515" s="154">
        <f t="shared" si="1556"/>
        <v>0</v>
      </c>
      <c r="I515" s="153"/>
      <c r="J515" s="154">
        <f t="shared" si="1557"/>
        <v>0</v>
      </c>
      <c r="K515" s="153"/>
      <c r="L515" s="154">
        <f t="shared" si="1558"/>
        <v>0</v>
      </c>
      <c r="M515" s="153"/>
      <c r="N515" s="154">
        <f t="shared" si="1559"/>
        <v>0</v>
      </c>
      <c r="O515" s="155">
        <f t="shared" si="1536"/>
        <v>20</v>
      </c>
      <c r="P515" s="155">
        <f t="shared" si="1537"/>
        <v>40</v>
      </c>
      <c r="Q515" s="155">
        <f t="shared" si="1551"/>
        <v>-10</v>
      </c>
      <c r="R515" s="153"/>
      <c r="S515" s="154">
        <f t="shared" si="1560"/>
        <v>0</v>
      </c>
      <c r="T515" s="153"/>
      <c r="U515" s="154">
        <f t="shared" si="1561"/>
        <v>0</v>
      </c>
      <c r="V515" s="155">
        <f t="shared" si="1562"/>
        <v>0</v>
      </c>
      <c r="W515" s="156">
        <f t="shared" si="1563"/>
        <v>0</v>
      </c>
    </row>
    <row r="516" spans="1:23" ht="10.5" hidden="1" customHeight="1" x14ac:dyDescent="0.2">
      <c r="A516" s="11"/>
      <c r="B516" s="150">
        <f>COUNTA(Spieltag!K503:AA503)</f>
        <v>0</v>
      </c>
      <c r="C516" s="166">
        <f>Spieltag!A503</f>
        <v>23</v>
      </c>
      <c r="D516" s="21" t="str">
        <f>Spieltag!B503</f>
        <v>Omar Haktab Traoré</v>
      </c>
      <c r="E516" s="151" t="str">
        <f>Spieltag!C503</f>
        <v>Abwehr</v>
      </c>
      <c r="F516" s="152" t="s">
        <v>618</v>
      </c>
      <c r="G516" s="153"/>
      <c r="H516" s="154">
        <f t="shared" si="1556"/>
        <v>0</v>
      </c>
      <c r="I516" s="153"/>
      <c r="J516" s="154">
        <f t="shared" si="1557"/>
        <v>0</v>
      </c>
      <c r="K516" s="153"/>
      <c r="L516" s="154">
        <f t="shared" si="1558"/>
        <v>0</v>
      </c>
      <c r="M516" s="153"/>
      <c r="N516" s="154">
        <f t="shared" si="1559"/>
        <v>0</v>
      </c>
      <c r="O516" s="155">
        <f t="shared" si="1536"/>
        <v>20</v>
      </c>
      <c r="P516" s="155">
        <f t="shared" si="1537"/>
        <v>40</v>
      </c>
      <c r="Q516" s="155">
        <f t="shared" si="1551"/>
        <v>-10</v>
      </c>
      <c r="R516" s="153"/>
      <c r="S516" s="154">
        <f t="shared" si="1560"/>
        <v>0</v>
      </c>
      <c r="T516" s="153"/>
      <c r="U516" s="154">
        <f t="shared" si="1561"/>
        <v>0</v>
      </c>
      <c r="V516" s="155">
        <f t="shared" si="1562"/>
        <v>0</v>
      </c>
      <c r="W516" s="156">
        <f t="shared" si="1563"/>
        <v>0</v>
      </c>
    </row>
    <row r="517" spans="1:23" ht="10.5" hidden="1" customHeight="1" x14ac:dyDescent="0.2">
      <c r="A517" s="11"/>
      <c r="B517" s="150">
        <f>COUNTA(Spieltag!K504:AA504)</f>
        <v>0</v>
      </c>
      <c r="C517" s="166">
        <f>Spieltag!A504</f>
        <v>27</v>
      </c>
      <c r="D517" s="21" t="str">
        <f>Spieltag!B504</f>
        <v>Thomas Keller</v>
      </c>
      <c r="E517" s="151" t="str">
        <f>Spieltag!C504</f>
        <v>Abwehr</v>
      </c>
      <c r="F517" s="152" t="s">
        <v>618</v>
      </c>
      <c r="G517" s="153"/>
      <c r="H517" s="154">
        <f t="shared" si="1556"/>
        <v>0</v>
      </c>
      <c r="I517" s="153"/>
      <c r="J517" s="154">
        <f t="shared" si="1557"/>
        <v>0</v>
      </c>
      <c r="K517" s="153"/>
      <c r="L517" s="154">
        <f t="shared" si="1558"/>
        <v>0</v>
      </c>
      <c r="M517" s="153"/>
      <c r="N517" s="154">
        <f t="shared" si="1559"/>
        <v>0</v>
      </c>
      <c r="O517" s="155">
        <f t="shared" si="1536"/>
        <v>20</v>
      </c>
      <c r="P517" s="155">
        <f t="shared" si="1537"/>
        <v>40</v>
      </c>
      <c r="Q517" s="155">
        <f t="shared" si="1551"/>
        <v>-10</v>
      </c>
      <c r="R517" s="153"/>
      <c r="S517" s="154">
        <f t="shared" si="1560"/>
        <v>0</v>
      </c>
      <c r="T517" s="153"/>
      <c r="U517" s="154">
        <f t="shared" si="1561"/>
        <v>0</v>
      </c>
      <c r="V517" s="155">
        <f t="shared" si="1562"/>
        <v>0</v>
      </c>
      <c r="W517" s="156">
        <f t="shared" si="1563"/>
        <v>0</v>
      </c>
    </row>
    <row r="518" spans="1:23" ht="10.5" hidden="1" customHeight="1" x14ac:dyDescent="0.2">
      <c r="A518" s="11"/>
      <c r="B518" s="150">
        <f>COUNTA(Spieltag!K505:AA505)</f>
        <v>0</v>
      </c>
      <c r="C518" s="166">
        <f>Spieltag!A505</f>
        <v>29</v>
      </c>
      <c r="D518" s="21" t="str">
        <f>Spieltag!B505</f>
        <v>Seedy Jarju</v>
      </c>
      <c r="E518" s="151" t="str">
        <f>Spieltag!C505</f>
        <v>Abwehr</v>
      </c>
      <c r="F518" s="152" t="s">
        <v>618</v>
      </c>
      <c r="G518" s="153"/>
      <c r="H518" s="154">
        <f t="shared" si="1556"/>
        <v>0</v>
      </c>
      <c r="I518" s="153"/>
      <c r="J518" s="154">
        <f t="shared" si="1557"/>
        <v>0</v>
      </c>
      <c r="K518" s="153"/>
      <c r="L518" s="154">
        <f t="shared" si="1558"/>
        <v>0</v>
      </c>
      <c r="M518" s="153"/>
      <c r="N518" s="154">
        <f t="shared" si="1559"/>
        <v>0</v>
      </c>
      <c r="O518" s="155">
        <f t="shared" si="1536"/>
        <v>20</v>
      </c>
      <c r="P518" s="155">
        <f t="shared" si="1537"/>
        <v>40</v>
      </c>
      <c r="Q518" s="155">
        <f t="shared" si="1551"/>
        <v>-10</v>
      </c>
      <c r="R518" s="153"/>
      <c r="S518" s="154">
        <f t="shared" si="1560"/>
        <v>0</v>
      </c>
      <c r="T518" s="153"/>
      <c r="U518" s="154">
        <f t="shared" si="1561"/>
        <v>0</v>
      </c>
      <c r="V518" s="155">
        <f t="shared" si="1562"/>
        <v>0</v>
      </c>
      <c r="W518" s="156">
        <f t="shared" si="1563"/>
        <v>0</v>
      </c>
    </row>
    <row r="519" spans="1:23" ht="10.5" hidden="1" customHeight="1" x14ac:dyDescent="0.2">
      <c r="A519" s="11"/>
      <c r="B519" s="150">
        <f>COUNTA(Spieltag!K506:AA506)</f>
        <v>0</v>
      </c>
      <c r="C519" s="166">
        <f>Spieltag!A506</f>
        <v>30</v>
      </c>
      <c r="D519" s="21" t="str">
        <f>Spieltag!B506</f>
        <v>Norman Theuerkauf</v>
      </c>
      <c r="E519" s="151" t="str">
        <f>Spieltag!C506</f>
        <v>Abwehr</v>
      </c>
      <c r="F519" s="152" t="s">
        <v>618</v>
      </c>
      <c r="G519" s="153"/>
      <c r="H519" s="154">
        <f t="shared" si="1556"/>
        <v>0</v>
      </c>
      <c r="I519" s="153"/>
      <c r="J519" s="154">
        <f t="shared" si="1557"/>
        <v>0</v>
      </c>
      <c r="K519" s="153"/>
      <c r="L519" s="154">
        <f t="shared" si="1558"/>
        <v>0</v>
      </c>
      <c r="M519" s="153"/>
      <c r="N519" s="154">
        <f t="shared" si="1559"/>
        <v>0</v>
      </c>
      <c r="O519" s="155">
        <f t="shared" si="1536"/>
        <v>20</v>
      </c>
      <c r="P519" s="155">
        <f t="shared" si="1537"/>
        <v>40</v>
      </c>
      <c r="Q519" s="155">
        <f t="shared" si="1551"/>
        <v>-10</v>
      </c>
      <c r="R519" s="153"/>
      <c r="S519" s="154">
        <f t="shared" si="1560"/>
        <v>0</v>
      </c>
      <c r="T519" s="153"/>
      <c r="U519" s="154">
        <f t="shared" si="1561"/>
        <v>0</v>
      </c>
      <c r="V519" s="155">
        <f t="shared" si="1562"/>
        <v>0</v>
      </c>
      <c r="W519" s="156">
        <f t="shared" si="1563"/>
        <v>0</v>
      </c>
    </row>
    <row r="520" spans="1:23" ht="10.5" hidden="1" customHeight="1" x14ac:dyDescent="0.2">
      <c r="A520" s="11"/>
      <c r="B520" s="149">
        <f>COUNTA(Spieltag!K507:AA507)</f>
        <v>0</v>
      </c>
      <c r="C520" s="166">
        <f>Spieltag!A507</f>
        <v>3</v>
      </c>
      <c r="D520" s="21" t="str">
        <f>Spieltag!B507</f>
        <v>Jan Schöppner</v>
      </c>
      <c r="E520" s="12" t="str">
        <f>Spieltag!C507</f>
        <v>Mittelfeld</v>
      </c>
      <c r="F520" s="13" t="s">
        <v>618</v>
      </c>
      <c r="G520" s="14"/>
      <c r="H520" s="15">
        <f t="shared" ref="H520" si="1564">IF(G520="x",10,0)</f>
        <v>0</v>
      </c>
      <c r="I520" s="14"/>
      <c r="J520" s="15">
        <f t="shared" ref="J520" si="1565">IF((I520="x"),-10,0)</f>
        <v>0</v>
      </c>
      <c r="K520" s="14"/>
      <c r="L520" s="15">
        <f t="shared" ref="L520" si="1566">IF((K520="x"),-20,0)</f>
        <v>0</v>
      </c>
      <c r="M520" s="14"/>
      <c r="N520" s="15">
        <f t="shared" ref="N520" si="1567">IF((M520="x"),-30,0)</f>
        <v>0</v>
      </c>
      <c r="O520" s="16">
        <f t="shared" ref="O520:O529" si="1568">IF(AND($V$6&gt;$W$6),20,IF($V$6=$W$6,10,0))</f>
        <v>20</v>
      </c>
      <c r="P520" s="16">
        <f t="shared" ref="P520:P529" si="1569">IF(($V$6&lt;&gt;0),$V$6*10,-5)</f>
        <v>40</v>
      </c>
      <c r="Q520" s="16">
        <f t="shared" ref="Q520:Q529" si="1570">IF(($W$6&lt;&gt;0),$W$6*-10,10)</f>
        <v>-10</v>
      </c>
      <c r="R520" s="14"/>
      <c r="S520" s="15">
        <f t="shared" ref="S520" si="1571">R520*10</f>
        <v>0</v>
      </c>
      <c r="T520" s="14"/>
      <c r="U520" s="15">
        <f t="shared" ref="U520" si="1572">T520*-15</f>
        <v>0</v>
      </c>
      <c r="V520" s="16">
        <f t="shared" ref="V520" si="1573">IF(AND(R520=2),10,IF(R520=3,30,IF(R520=4,50,IF(R520=5,70,0))))</f>
        <v>0</v>
      </c>
      <c r="W520" s="17">
        <f t="shared" ref="W520" si="1574">IF(G520="x",H520+J520+L520+N520+O520+P520+Q520+S520+U520+V520,0)</f>
        <v>0</v>
      </c>
    </row>
    <row r="521" spans="1:23" ht="10.5" hidden="1" customHeight="1" x14ac:dyDescent="0.2">
      <c r="A521" s="11"/>
      <c r="B521" s="149">
        <f>COUNTA(Spieltag!K508:AA508)</f>
        <v>0</v>
      </c>
      <c r="C521" s="166">
        <f>Spieltag!A508</f>
        <v>5</v>
      </c>
      <c r="D521" s="21" t="str">
        <f>Spieltag!B508</f>
        <v>Benedikt Gimber</v>
      </c>
      <c r="E521" s="12" t="str">
        <f>Spieltag!C508</f>
        <v>Mittelfeld</v>
      </c>
      <c r="F521" s="13" t="s">
        <v>618</v>
      </c>
      <c r="G521" s="14"/>
      <c r="H521" s="15">
        <f t="shared" ref="H521:H529" si="1575">IF(G521="x",10,0)</f>
        <v>0</v>
      </c>
      <c r="I521" s="14"/>
      <c r="J521" s="15">
        <f t="shared" ref="J521:J529" si="1576">IF((I521="x"),-10,0)</f>
        <v>0</v>
      </c>
      <c r="K521" s="14"/>
      <c r="L521" s="15">
        <f t="shared" ref="L521:L529" si="1577">IF((K521="x"),-20,0)</f>
        <v>0</v>
      </c>
      <c r="M521" s="14"/>
      <c r="N521" s="15">
        <f t="shared" ref="N521:N529" si="1578">IF((M521="x"),-30,0)</f>
        <v>0</v>
      </c>
      <c r="O521" s="16">
        <f t="shared" si="1568"/>
        <v>20</v>
      </c>
      <c r="P521" s="16">
        <f t="shared" si="1569"/>
        <v>40</v>
      </c>
      <c r="Q521" s="16">
        <f t="shared" si="1570"/>
        <v>-10</v>
      </c>
      <c r="R521" s="14"/>
      <c r="S521" s="15">
        <f t="shared" ref="S521:S529" si="1579">R521*10</f>
        <v>0</v>
      </c>
      <c r="T521" s="14"/>
      <c r="U521" s="15">
        <f t="shared" ref="U521:U529" si="1580">T521*-15</f>
        <v>0</v>
      </c>
      <c r="V521" s="16">
        <f t="shared" ref="V521:V529" si="1581">IF(AND(R521=2),10,IF(R521=3,30,IF(R521=4,50,IF(R521=5,70,0))))</f>
        <v>0</v>
      </c>
      <c r="W521" s="17">
        <f t="shared" ref="W521:W529" si="1582">IF(G521="x",H521+J521+L521+N521+O521+P521+Q521+S521+U521+V521,0)</f>
        <v>0</v>
      </c>
    </row>
    <row r="522" spans="1:23" ht="10.5" hidden="1" customHeight="1" x14ac:dyDescent="0.2">
      <c r="A522" s="11"/>
      <c r="B522" s="149">
        <f>COUNTA(Spieltag!K509:AA509)</f>
        <v>0</v>
      </c>
      <c r="C522" s="166">
        <f>Spieltag!A509</f>
        <v>8</v>
      </c>
      <c r="D522" s="21" t="str">
        <f>Spieltag!B509</f>
        <v>Eren Sami Dinkçi</v>
      </c>
      <c r="E522" s="12" t="str">
        <f>Spieltag!C509</f>
        <v>Mittelfeld</v>
      </c>
      <c r="F522" s="13" t="s">
        <v>618</v>
      </c>
      <c r="G522" s="14"/>
      <c r="H522" s="15">
        <f t="shared" si="1575"/>
        <v>0</v>
      </c>
      <c r="I522" s="14"/>
      <c r="J522" s="15">
        <f t="shared" si="1576"/>
        <v>0</v>
      </c>
      <c r="K522" s="14"/>
      <c r="L522" s="15">
        <f t="shared" si="1577"/>
        <v>0</v>
      </c>
      <c r="M522" s="14"/>
      <c r="N522" s="15">
        <f t="shared" si="1578"/>
        <v>0</v>
      </c>
      <c r="O522" s="16">
        <f t="shared" si="1568"/>
        <v>20</v>
      </c>
      <c r="P522" s="16">
        <f t="shared" si="1569"/>
        <v>40</v>
      </c>
      <c r="Q522" s="16">
        <f t="shared" si="1570"/>
        <v>-10</v>
      </c>
      <c r="R522" s="14"/>
      <c r="S522" s="15">
        <f t="shared" si="1579"/>
        <v>0</v>
      </c>
      <c r="T522" s="14"/>
      <c r="U522" s="15">
        <f t="shared" si="1580"/>
        <v>0</v>
      </c>
      <c r="V522" s="16">
        <f t="shared" si="1581"/>
        <v>0</v>
      </c>
      <c r="W522" s="17">
        <f t="shared" si="1582"/>
        <v>0</v>
      </c>
    </row>
    <row r="523" spans="1:23" ht="10.5" hidden="1" customHeight="1" x14ac:dyDescent="0.2">
      <c r="A523" s="11"/>
      <c r="B523" s="149">
        <f>COUNTA(Spieltag!K510:AA510)</f>
        <v>0</v>
      </c>
      <c r="C523" s="166">
        <f>Spieltag!A510</f>
        <v>11</v>
      </c>
      <c r="D523" s="21" t="str">
        <f>Spieltag!B510</f>
        <v>Denis Thomalla</v>
      </c>
      <c r="E523" s="12" t="str">
        <f>Spieltag!C510</f>
        <v>Mittelfeld</v>
      </c>
      <c r="F523" s="13" t="s">
        <v>618</v>
      </c>
      <c r="G523" s="14"/>
      <c r="H523" s="15">
        <f t="shared" si="1575"/>
        <v>0</v>
      </c>
      <c r="I523" s="14"/>
      <c r="J523" s="15">
        <f t="shared" si="1576"/>
        <v>0</v>
      </c>
      <c r="K523" s="14"/>
      <c r="L523" s="15">
        <f t="shared" si="1577"/>
        <v>0</v>
      </c>
      <c r="M523" s="14"/>
      <c r="N523" s="15">
        <f t="shared" si="1578"/>
        <v>0</v>
      </c>
      <c r="O523" s="16">
        <f t="shared" si="1568"/>
        <v>20</v>
      </c>
      <c r="P523" s="16">
        <f t="shared" si="1569"/>
        <v>40</v>
      </c>
      <c r="Q523" s="16">
        <f t="shared" si="1570"/>
        <v>-10</v>
      </c>
      <c r="R523" s="14"/>
      <c r="S523" s="15">
        <f t="shared" si="1579"/>
        <v>0</v>
      </c>
      <c r="T523" s="14"/>
      <c r="U523" s="15">
        <f t="shared" si="1580"/>
        <v>0</v>
      </c>
      <c r="V523" s="16">
        <f t="shared" si="1581"/>
        <v>0</v>
      </c>
      <c r="W523" s="17">
        <f t="shared" si="1582"/>
        <v>0</v>
      </c>
    </row>
    <row r="524" spans="1:23" ht="10.5" hidden="1" customHeight="1" x14ac:dyDescent="0.2">
      <c r="A524" s="11"/>
      <c r="B524" s="149">
        <f>COUNTA(Spieltag!K511:AA511)</f>
        <v>0</v>
      </c>
      <c r="C524" s="166">
        <f>Spieltag!A511</f>
        <v>16</v>
      </c>
      <c r="D524" s="21" t="str">
        <f>Spieltag!B511</f>
        <v>Kevin Sessa</v>
      </c>
      <c r="E524" s="12" t="str">
        <f>Spieltag!C511</f>
        <v>Mittelfeld</v>
      </c>
      <c r="F524" s="13" t="s">
        <v>618</v>
      </c>
      <c r="G524" s="14"/>
      <c r="H524" s="15">
        <f t="shared" si="1575"/>
        <v>0</v>
      </c>
      <c r="I524" s="14"/>
      <c r="J524" s="15">
        <f t="shared" si="1576"/>
        <v>0</v>
      </c>
      <c r="K524" s="14"/>
      <c r="L524" s="15">
        <f t="shared" si="1577"/>
        <v>0</v>
      </c>
      <c r="M524" s="14"/>
      <c r="N524" s="15">
        <f t="shared" si="1578"/>
        <v>0</v>
      </c>
      <c r="O524" s="16">
        <f t="shared" si="1568"/>
        <v>20</v>
      </c>
      <c r="P524" s="16">
        <f t="shared" si="1569"/>
        <v>40</v>
      </c>
      <c r="Q524" s="16">
        <f t="shared" si="1570"/>
        <v>-10</v>
      </c>
      <c r="R524" s="14"/>
      <c r="S524" s="15">
        <f t="shared" si="1579"/>
        <v>0</v>
      </c>
      <c r="T524" s="14"/>
      <c r="U524" s="15">
        <f t="shared" si="1580"/>
        <v>0</v>
      </c>
      <c r="V524" s="16">
        <f t="shared" si="1581"/>
        <v>0</v>
      </c>
      <c r="W524" s="17">
        <f t="shared" si="1582"/>
        <v>0</v>
      </c>
    </row>
    <row r="525" spans="1:23" ht="10.5" hidden="1" customHeight="1" x14ac:dyDescent="0.2">
      <c r="A525" s="11"/>
      <c r="B525" s="149">
        <f>COUNTA(Spieltag!K512:AA512)</f>
        <v>0</v>
      </c>
      <c r="C525" s="166">
        <f>Spieltag!A512</f>
        <v>17</v>
      </c>
      <c r="D525" s="21" t="str">
        <f>Spieltag!B512</f>
        <v>Florian Pick</v>
      </c>
      <c r="E525" s="12" t="str">
        <f>Spieltag!C512</f>
        <v>Mittelfeld</v>
      </c>
      <c r="F525" s="13" t="s">
        <v>618</v>
      </c>
      <c r="G525" s="14"/>
      <c r="H525" s="15">
        <f t="shared" si="1575"/>
        <v>0</v>
      </c>
      <c r="I525" s="14"/>
      <c r="J525" s="15">
        <f t="shared" si="1576"/>
        <v>0</v>
      </c>
      <c r="K525" s="14"/>
      <c r="L525" s="15">
        <f t="shared" si="1577"/>
        <v>0</v>
      </c>
      <c r="M525" s="14"/>
      <c r="N525" s="15">
        <f t="shared" si="1578"/>
        <v>0</v>
      </c>
      <c r="O525" s="16">
        <f t="shared" si="1568"/>
        <v>20</v>
      </c>
      <c r="P525" s="16">
        <f t="shared" si="1569"/>
        <v>40</v>
      </c>
      <c r="Q525" s="16">
        <f t="shared" si="1570"/>
        <v>-10</v>
      </c>
      <c r="R525" s="14"/>
      <c r="S525" s="15">
        <f t="shared" si="1579"/>
        <v>0</v>
      </c>
      <c r="T525" s="14"/>
      <c r="U525" s="15">
        <f t="shared" si="1580"/>
        <v>0</v>
      </c>
      <c r="V525" s="16">
        <f t="shared" si="1581"/>
        <v>0</v>
      </c>
      <c r="W525" s="17">
        <f t="shared" si="1582"/>
        <v>0</v>
      </c>
    </row>
    <row r="526" spans="1:23" ht="10.5" hidden="1" customHeight="1" x14ac:dyDescent="0.2">
      <c r="A526" s="11"/>
      <c r="B526" s="149">
        <f>COUNTA(Spieltag!K513:AA513)</f>
        <v>0</v>
      </c>
      <c r="C526" s="166">
        <f>Spieltag!A513</f>
        <v>21</v>
      </c>
      <c r="D526" s="21" t="str">
        <f>Spieltag!B513</f>
        <v>Adrian Beck</v>
      </c>
      <c r="E526" s="12" t="str">
        <f>Spieltag!C513</f>
        <v>Mittelfeld</v>
      </c>
      <c r="F526" s="13" t="s">
        <v>618</v>
      </c>
      <c r="G526" s="14"/>
      <c r="H526" s="15">
        <f t="shared" si="1575"/>
        <v>0</v>
      </c>
      <c r="I526" s="14"/>
      <c r="J526" s="15">
        <f t="shared" si="1576"/>
        <v>0</v>
      </c>
      <c r="K526" s="14"/>
      <c r="L526" s="15">
        <f t="shared" si="1577"/>
        <v>0</v>
      </c>
      <c r="M526" s="14"/>
      <c r="N526" s="15">
        <f t="shared" si="1578"/>
        <v>0</v>
      </c>
      <c r="O526" s="16">
        <f t="shared" si="1568"/>
        <v>20</v>
      </c>
      <c r="P526" s="16">
        <f t="shared" si="1569"/>
        <v>40</v>
      </c>
      <c r="Q526" s="16">
        <f t="shared" si="1570"/>
        <v>-10</v>
      </c>
      <c r="R526" s="14"/>
      <c r="S526" s="15">
        <f t="shared" si="1579"/>
        <v>0</v>
      </c>
      <c r="T526" s="14"/>
      <c r="U526" s="15">
        <f t="shared" si="1580"/>
        <v>0</v>
      </c>
      <c r="V526" s="16">
        <f t="shared" si="1581"/>
        <v>0</v>
      </c>
      <c r="W526" s="17">
        <f t="shared" si="1582"/>
        <v>0</v>
      </c>
    </row>
    <row r="527" spans="1:23" ht="10.5" hidden="1" customHeight="1" x14ac:dyDescent="0.2">
      <c r="A527" s="11"/>
      <c r="B527" s="149">
        <f>COUNTA(Spieltag!K514:AA514)</f>
        <v>0</v>
      </c>
      <c r="C527" s="166">
        <f>Spieltag!A514</f>
        <v>33</v>
      </c>
      <c r="D527" s="21" t="str">
        <f>Spieltag!B514</f>
        <v>Lennard Maloney</v>
      </c>
      <c r="E527" s="12" t="str">
        <f>Spieltag!C514</f>
        <v>Mittelfeld</v>
      </c>
      <c r="F527" s="13" t="s">
        <v>618</v>
      </c>
      <c r="G527" s="14"/>
      <c r="H527" s="15">
        <f t="shared" si="1575"/>
        <v>0</v>
      </c>
      <c r="I527" s="14"/>
      <c r="J527" s="15">
        <f t="shared" si="1576"/>
        <v>0</v>
      </c>
      <c r="K527" s="14"/>
      <c r="L527" s="15">
        <f t="shared" si="1577"/>
        <v>0</v>
      </c>
      <c r="M527" s="14"/>
      <c r="N527" s="15">
        <f t="shared" si="1578"/>
        <v>0</v>
      </c>
      <c r="O527" s="16">
        <f t="shared" si="1568"/>
        <v>20</v>
      </c>
      <c r="P527" s="16">
        <f t="shared" si="1569"/>
        <v>40</v>
      </c>
      <c r="Q527" s="16">
        <f t="shared" si="1570"/>
        <v>-10</v>
      </c>
      <c r="R527" s="14"/>
      <c r="S527" s="15">
        <f t="shared" si="1579"/>
        <v>0</v>
      </c>
      <c r="T527" s="14"/>
      <c r="U527" s="15">
        <f t="shared" si="1580"/>
        <v>0</v>
      </c>
      <c r="V527" s="16">
        <f t="shared" si="1581"/>
        <v>0</v>
      </c>
      <c r="W527" s="17">
        <f t="shared" si="1582"/>
        <v>0</v>
      </c>
    </row>
    <row r="528" spans="1:23" ht="10.5" hidden="1" customHeight="1" x14ac:dyDescent="0.2">
      <c r="A528" s="11"/>
      <c r="B528" s="149">
        <f>COUNTA(Spieltag!K515:AA515)</f>
        <v>0</v>
      </c>
      <c r="C528" s="166">
        <f>Spieltag!A515</f>
        <v>36</v>
      </c>
      <c r="D528" s="21" t="str">
        <f>Spieltag!B515</f>
        <v>Luka Janeš</v>
      </c>
      <c r="E528" s="12" t="str">
        <f>Spieltag!C515</f>
        <v>Mittelfeld</v>
      </c>
      <c r="F528" s="13" t="s">
        <v>618</v>
      </c>
      <c r="G528" s="14"/>
      <c r="H528" s="15">
        <f t="shared" si="1575"/>
        <v>0</v>
      </c>
      <c r="I528" s="14"/>
      <c r="J528" s="15">
        <f t="shared" si="1576"/>
        <v>0</v>
      </c>
      <c r="K528" s="14"/>
      <c r="L528" s="15">
        <f t="shared" si="1577"/>
        <v>0</v>
      </c>
      <c r="M528" s="14"/>
      <c r="N528" s="15">
        <f t="shared" si="1578"/>
        <v>0</v>
      </c>
      <c r="O528" s="16">
        <f t="shared" si="1568"/>
        <v>20</v>
      </c>
      <c r="P528" s="16">
        <f t="shared" si="1569"/>
        <v>40</v>
      </c>
      <c r="Q528" s="16">
        <f t="shared" si="1570"/>
        <v>-10</v>
      </c>
      <c r="R528" s="14"/>
      <c r="S528" s="15">
        <f t="shared" si="1579"/>
        <v>0</v>
      </c>
      <c r="T528" s="14"/>
      <c r="U528" s="15">
        <f t="shared" si="1580"/>
        <v>0</v>
      </c>
      <c r="V528" s="16">
        <f t="shared" si="1581"/>
        <v>0</v>
      </c>
      <c r="W528" s="17">
        <f t="shared" si="1582"/>
        <v>0</v>
      </c>
    </row>
    <row r="529" spans="1:23" ht="10.5" hidden="1" customHeight="1" x14ac:dyDescent="0.2">
      <c r="A529" s="11"/>
      <c r="B529" s="149">
        <f>COUNTA(Spieltag!K516:AA516)</f>
        <v>0</v>
      </c>
      <c r="C529" s="166">
        <f>Spieltag!A516</f>
        <v>37</v>
      </c>
      <c r="D529" s="21" t="str">
        <f>Spieltag!B516</f>
        <v>Jan-Niklas Beste</v>
      </c>
      <c r="E529" s="12" t="str">
        <f>Spieltag!C516</f>
        <v>Mittelfeld</v>
      </c>
      <c r="F529" s="13" t="s">
        <v>618</v>
      </c>
      <c r="G529" s="14"/>
      <c r="H529" s="15">
        <f t="shared" si="1575"/>
        <v>0</v>
      </c>
      <c r="I529" s="14"/>
      <c r="J529" s="15">
        <f t="shared" si="1576"/>
        <v>0</v>
      </c>
      <c r="K529" s="14"/>
      <c r="L529" s="15">
        <f t="shared" si="1577"/>
        <v>0</v>
      </c>
      <c r="M529" s="14"/>
      <c r="N529" s="15">
        <f t="shared" si="1578"/>
        <v>0</v>
      </c>
      <c r="O529" s="16">
        <f t="shared" si="1568"/>
        <v>20</v>
      </c>
      <c r="P529" s="16">
        <f t="shared" si="1569"/>
        <v>40</v>
      </c>
      <c r="Q529" s="16">
        <f t="shared" si="1570"/>
        <v>-10</v>
      </c>
      <c r="R529" s="14"/>
      <c r="S529" s="15">
        <f t="shared" si="1579"/>
        <v>0</v>
      </c>
      <c r="T529" s="14"/>
      <c r="U529" s="15">
        <f t="shared" si="1580"/>
        <v>0</v>
      </c>
      <c r="V529" s="16">
        <f t="shared" si="1581"/>
        <v>0</v>
      </c>
      <c r="W529" s="17">
        <f t="shared" si="1582"/>
        <v>0</v>
      </c>
    </row>
    <row r="530" spans="1:23" ht="10.5" hidden="1" customHeight="1" x14ac:dyDescent="0.2">
      <c r="A530" s="11"/>
      <c r="B530" s="149">
        <f>COUNTA(Spieltag!K517:AA517)</f>
        <v>0</v>
      </c>
      <c r="C530" s="166">
        <f>Spieltag!A517</f>
        <v>9</v>
      </c>
      <c r="D530" s="21" t="str">
        <f>Spieltag!B517</f>
        <v>Stefan Schimmer</v>
      </c>
      <c r="E530" s="12" t="str">
        <f>Spieltag!C517</f>
        <v>Sturm</v>
      </c>
      <c r="F530" s="13" t="s">
        <v>618</v>
      </c>
      <c r="G530" s="14"/>
      <c r="H530" s="15">
        <f t="shared" ref="H530" si="1583">IF(G530="x",10,0)</f>
        <v>0</v>
      </c>
      <c r="I530" s="14"/>
      <c r="J530" s="15">
        <f t="shared" ref="J530" si="1584">IF((I530="x"),-10,0)</f>
        <v>0</v>
      </c>
      <c r="K530" s="14"/>
      <c r="L530" s="15">
        <f t="shared" ref="L530" si="1585">IF((K530="x"),-20,0)</f>
        <v>0</v>
      </c>
      <c r="M530" s="14"/>
      <c r="N530" s="15">
        <f t="shared" ref="N530" si="1586">IF((M530="x"),-30,0)</f>
        <v>0</v>
      </c>
      <c r="O530" s="16">
        <f>IF(AND($V$6&gt;$W$6),20,IF($V$6=$W$6,10,0))</f>
        <v>20</v>
      </c>
      <c r="P530" s="16">
        <f>IF(($V$6&lt;&gt;0),$V$6*10,-5)</f>
        <v>40</v>
      </c>
      <c r="Q530" s="16">
        <f>IF(($W$6&lt;&gt;0),$W$6*-10,5)</f>
        <v>-10</v>
      </c>
      <c r="R530" s="14"/>
      <c r="S530" s="15">
        <f t="shared" ref="S530" si="1587">R530*10</f>
        <v>0</v>
      </c>
      <c r="T530" s="14"/>
      <c r="U530" s="15">
        <f t="shared" ref="U530" si="1588">T530*-15</f>
        <v>0</v>
      </c>
      <c r="V530" s="16">
        <f t="shared" ref="V530" si="1589">IF(AND(R530=2),10,IF(R530=3,30,IF(R530=4,50,IF(R530=5,70,0))))</f>
        <v>0</v>
      </c>
      <c r="W530" s="17">
        <f t="shared" ref="W530" si="1590">IF(G530="x",H530+J530+L530+N530+O530+P530+Q530+S530+U530+V530,0)</f>
        <v>0</v>
      </c>
    </row>
    <row r="531" spans="1:23" ht="10.5" hidden="1" customHeight="1" x14ac:dyDescent="0.2">
      <c r="A531" s="11"/>
      <c r="B531" s="149">
        <f>COUNTA(Spieltag!K518:AA518)</f>
        <v>0</v>
      </c>
      <c r="C531" s="166">
        <f>Spieltag!A518</f>
        <v>10</v>
      </c>
      <c r="D531" s="21" t="str">
        <f>Spieltag!B518</f>
        <v>Tim Kleindienst</v>
      </c>
      <c r="E531" s="12" t="str">
        <f>Spieltag!C518</f>
        <v>Sturm</v>
      </c>
      <c r="F531" s="13" t="s">
        <v>618</v>
      </c>
      <c r="G531" s="14"/>
      <c r="H531" s="15">
        <f t="shared" ref="H531" si="1591">IF(G531="x",10,0)</f>
        <v>0</v>
      </c>
      <c r="I531" s="14"/>
      <c r="J531" s="15">
        <f t="shared" ref="J531" si="1592">IF((I531="x"),-10,0)</f>
        <v>0</v>
      </c>
      <c r="K531" s="14"/>
      <c r="L531" s="15">
        <f t="shared" ref="L531" si="1593">IF((K531="x"),-20,0)</f>
        <v>0</v>
      </c>
      <c r="M531" s="14"/>
      <c r="N531" s="15">
        <f t="shared" ref="N531" si="1594">IF((M531="x"),-30,0)</f>
        <v>0</v>
      </c>
      <c r="O531" s="16">
        <f t="shared" ref="O531:O535" si="1595">IF(AND($V$6&gt;$W$6),20,IF($V$6=$W$6,10,0))</f>
        <v>20</v>
      </c>
      <c r="P531" s="16">
        <f t="shared" ref="P531:P535" si="1596">IF(($V$6&lt;&gt;0),$V$6*10,-5)</f>
        <v>40</v>
      </c>
      <c r="Q531" s="16">
        <f t="shared" ref="Q531:Q535" si="1597">IF(($W$6&lt;&gt;0),$W$6*-10,5)</f>
        <v>-10</v>
      </c>
      <c r="R531" s="14"/>
      <c r="S531" s="15">
        <f t="shared" ref="S531" si="1598">R531*10</f>
        <v>0</v>
      </c>
      <c r="T531" s="14"/>
      <c r="U531" s="15">
        <f t="shared" ref="U531" si="1599">T531*-15</f>
        <v>0</v>
      </c>
      <c r="V531" s="16">
        <f t="shared" ref="V531" si="1600">IF(AND(R531=2),10,IF(R531=3,30,IF(R531=4,50,IF(R531=5,70,0))))</f>
        <v>0</v>
      </c>
      <c r="W531" s="17">
        <f t="shared" ref="W531" si="1601">IF(G531="x",H531+J531+L531+N531+O531+P531+Q531+S531+U531+V531,0)</f>
        <v>0</v>
      </c>
    </row>
    <row r="532" spans="1:23" ht="10.5" hidden="1" customHeight="1" x14ac:dyDescent="0.2">
      <c r="A532" s="11"/>
      <c r="B532" s="149">
        <f>COUNTA(Spieltag!K519:AA519)</f>
        <v>0</v>
      </c>
      <c r="C532" s="166">
        <f>Spieltag!A519</f>
        <v>18</v>
      </c>
      <c r="D532" s="21" t="str">
        <f>Spieltag!B519</f>
        <v>Marvin Pieringer</v>
      </c>
      <c r="E532" s="12" t="str">
        <f>Spieltag!C519</f>
        <v>Sturm</v>
      </c>
      <c r="F532" s="13" t="s">
        <v>618</v>
      </c>
      <c r="G532" s="14"/>
      <c r="H532" s="15">
        <f t="shared" ref="H532:H535" si="1602">IF(G532="x",10,0)</f>
        <v>0</v>
      </c>
      <c r="I532" s="14"/>
      <c r="J532" s="15">
        <f t="shared" ref="J532:J535" si="1603">IF((I532="x"),-10,0)</f>
        <v>0</v>
      </c>
      <c r="K532" s="14"/>
      <c r="L532" s="15">
        <f t="shared" ref="L532:L535" si="1604">IF((K532="x"),-20,0)</f>
        <v>0</v>
      </c>
      <c r="M532" s="14"/>
      <c r="N532" s="15">
        <f t="shared" ref="N532:N535" si="1605">IF((M532="x"),-30,0)</f>
        <v>0</v>
      </c>
      <c r="O532" s="16">
        <f t="shared" si="1595"/>
        <v>20</v>
      </c>
      <c r="P532" s="16">
        <f t="shared" si="1596"/>
        <v>40</v>
      </c>
      <c r="Q532" s="16">
        <f t="shared" si="1597"/>
        <v>-10</v>
      </c>
      <c r="R532" s="14"/>
      <c r="S532" s="15">
        <f t="shared" ref="S532:S535" si="1606">R532*10</f>
        <v>0</v>
      </c>
      <c r="T532" s="14"/>
      <c r="U532" s="15">
        <f t="shared" ref="U532:U535" si="1607">T532*-15</f>
        <v>0</v>
      </c>
      <c r="V532" s="16">
        <f t="shared" ref="V532:V535" si="1608">IF(AND(R532=2),10,IF(R532=3,30,IF(R532=4,50,IF(R532=5,70,0))))</f>
        <v>0</v>
      </c>
      <c r="W532" s="17">
        <f t="shared" ref="W532:W535" si="1609">IF(G532="x",H532+J532+L532+N532+O532+P532+Q532+S532+U532+V532,0)</f>
        <v>0</v>
      </c>
    </row>
    <row r="533" spans="1:23" ht="10.5" hidden="1" customHeight="1" x14ac:dyDescent="0.2">
      <c r="A533" s="11"/>
      <c r="B533" s="149">
        <f>COUNTA(Spieltag!K520:AA520)</f>
        <v>0</v>
      </c>
      <c r="C533" s="166">
        <f>Spieltag!A520</f>
        <v>20</v>
      </c>
      <c r="D533" s="21" t="str">
        <f>Spieltag!B520</f>
        <v>Nikola Dovedan (A)</v>
      </c>
      <c r="E533" s="12" t="str">
        <f>Spieltag!C520</f>
        <v>Sturm</v>
      </c>
      <c r="F533" s="13" t="s">
        <v>618</v>
      </c>
      <c r="G533" s="14"/>
      <c r="H533" s="15">
        <f t="shared" si="1602"/>
        <v>0</v>
      </c>
      <c r="I533" s="14"/>
      <c r="J533" s="15">
        <f t="shared" si="1603"/>
        <v>0</v>
      </c>
      <c r="K533" s="14"/>
      <c r="L533" s="15">
        <f t="shared" si="1604"/>
        <v>0</v>
      </c>
      <c r="M533" s="14"/>
      <c r="N533" s="15">
        <f t="shared" si="1605"/>
        <v>0</v>
      </c>
      <c r="O533" s="16">
        <f t="shared" si="1595"/>
        <v>20</v>
      </c>
      <c r="P533" s="16">
        <f t="shared" si="1596"/>
        <v>40</v>
      </c>
      <c r="Q533" s="16">
        <f t="shared" si="1597"/>
        <v>-10</v>
      </c>
      <c r="R533" s="14"/>
      <c r="S533" s="15">
        <f t="shared" si="1606"/>
        <v>0</v>
      </c>
      <c r="T533" s="14"/>
      <c r="U533" s="15">
        <f t="shared" si="1607"/>
        <v>0</v>
      </c>
      <c r="V533" s="16">
        <f t="shared" si="1608"/>
        <v>0</v>
      </c>
      <c r="W533" s="17">
        <f t="shared" si="1609"/>
        <v>0</v>
      </c>
    </row>
    <row r="534" spans="1:23" ht="10.5" hidden="1" customHeight="1" x14ac:dyDescent="0.2">
      <c r="A534" s="11"/>
      <c r="B534" s="149">
        <f>COUNTA(Spieltag!K521:AA521)</f>
        <v>0</v>
      </c>
      <c r="C534" s="166">
        <f>Spieltag!A521</f>
        <v>24</v>
      </c>
      <c r="D534" s="21" t="str">
        <f>Spieltag!B521</f>
        <v>Christian Kühlwetter</v>
      </c>
      <c r="E534" s="12" t="str">
        <f>Spieltag!C521</f>
        <v>Sturm</v>
      </c>
      <c r="F534" s="13" t="s">
        <v>618</v>
      </c>
      <c r="G534" s="14"/>
      <c r="H534" s="15">
        <f t="shared" ref="H534" si="1610">IF(G534="x",10,0)</f>
        <v>0</v>
      </c>
      <c r="I534" s="14"/>
      <c r="J534" s="15">
        <f t="shared" ref="J534" si="1611">IF((I534="x"),-10,0)</f>
        <v>0</v>
      </c>
      <c r="K534" s="14"/>
      <c r="L534" s="15">
        <f t="shared" ref="L534" si="1612">IF((K534="x"),-20,0)</f>
        <v>0</v>
      </c>
      <c r="M534" s="14"/>
      <c r="N534" s="15">
        <f t="shared" ref="N534" si="1613">IF((M534="x"),-30,0)</f>
        <v>0</v>
      </c>
      <c r="O534" s="16">
        <f t="shared" si="1595"/>
        <v>20</v>
      </c>
      <c r="P534" s="16">
        <f t="shared" si="1596"/>
        <v>40</v>
      </c>
      <c r="Q534" s="16">
        <f t="shared" si="1597"/>
        <v>-10</v>
      </c>
      <c r="R534" s="14"/>
      <c r="S534" s="15">
        <f t="shared" ref="S534" si="1614">R534*10</f>
        <v>0</v>
      </c>
      <c r="T534" s="14"/>
      <c r="U534" s="15">
        <f t="shared" ref="U534" si="1615">T534*-15</f>
        <v>0</v>
      </c>
      <c r="V534" s="16">
        <f t="shared" ref="V534" si="1616">IF(AND(R534=2),10,IF(R534=3,30,IF(R534=4,50,IF(R534=5,70,0))))</f>
        <v>0</v>
      </c>
      <c r="W534" s="17">
        <f t="shared" ref="W534" si="1617">IF(G534="x",H534+J534+L534+N534+O534+P534+Q534+S534+U534+V534,0)</f>
        <v>0</v>
      </c>
    </row>
    <row r="535" spans="1:23" ht="10.5" hidden="1" customHeight="1" x14ac:dyDescent="0.2">
      <c r="A535" s="11"/>
      <c r="B535" s="149">
        <f>COUNTA(Spieltag!K522:AA522)</f>
        <v>0</v>
      </c>
      <c r="C535" s="166">
        <f>Spieltag!A522</f>
        <v>44</v>
      </c>
      <c r="D535" s="21" t="str">
        <f>Spieltag!B522</f>
        <v>Elidon Qenaj</v>
      </c>
      <c r="E535" s="12" t="str">
        <f>Spieltag!C522</f>
        <v>Sturm</v>
      </c>
      <c r="F535" s="13" t="s">
        <v>618</v>
      </c>
      <c r="G535" s="14"/>
      <c r="H535" s="15">
        <f t="shared" si="1602"/>
        <v>0</v>
      </c>
      <c r="I535" s="14"/>
      <c r="J535" s="15">
        <f t="shared" si="1603"/>
        <v>0</v>
      </c>
      <c r="K535" s="14"/>
      <c r="L535" s="15">
        <f t="shared" si="1604"/>
        <v>0</v>
      </c>
      <c r="M535" s="14"/>
      <c r="N535" s="15">
        <f t="shared" si="1605"/>
        <v>0</v>
      </c>
      <c r="O535" s="16">
        <f t="shared" si="1595"/>
        <v>20</v>
      </c>
      <c r="P535" s="16">
        <f t="shared" si="1596"/>
        <v>40</v>
      </c>
      <c r="Q535" s="16">
        <f t="shared" si="1597"/>
        <v>-10</v>
      </c>
      <c r="R535" s="14"/>
      <c r="S535" s="15">
        <f t="shared" si="1606"/>
        <v>0</v>
      </c>
      <c r="T535" s="14"/>
      <c r="U535" s="15">
        <f t="shared" si="1607"/>
        <v>0</v>
      </c>
      <c r="V535" s="16">
        <f t="shared" si="1608"/>
        <v>0</v>
      </c>
      <c r="W535" s="17">
        <f t="shared" si="1609"/>
        <v>0</v>
      </c>
    </row>
    <row r="536" spans="1:23" s="144" customFormat="1" ht="17.25" hidden="1" thickBot="1" x14ac:dyDescent="0.25">
      <c r="A536" s="142"/>
      <c r="B536" s="143">
        <f>SUM(B537:B567)</f>
        <v>0</v>
      </c>
      <c r="C536" s="158"/>
      <c r="D536" s="221" t="s">
        <v>405</v>
      </c>
      <c r="E536" s="221"/>
      <c r="F536" s="221"/>
      <c r="G536" s="221"/>
      <c r="H536" s="221"/>
      <c r="I536" s="221"/>
      <c r="J536" s="221"/>
      <c r="K536" s="221"/>
      <c r="L536" s="221"/>
      <c r="M536" s="221"/>
      <c r="N536" s="221"/>
      <c r="O536" s="221"/>
      <c r="P536" s="221"/>
      <c r="Q536" s="221"/>
      <c r="R536" s="221"/>
      <c r="S536" s="221"/>
      <c r="T536" s="221"/>
      <c r="U536" s="221"/>
      <c r="V536" s="221"/>
      <c r="W536" s="222"/>
    </row>
    <row r="537" spans="1:23" ht="10.5" hidden="1" customHeight="1" x14ac:dyDescent="0.2">
      <c r="A537" s="11"/>
      <c r="B537" s="149">
        <f>COUNTA(Spieltag!K524:AA524)</f>
        <v>0</v>
      </c>
      <c r="C537" s="166">
        <f>Spieltag!A524</f>
        <v>1</v>
      </c>
      <c r="D537" s="21" t="str">
        <f>Spieltag!B524</f>
        <v>Marcel Schuhen</v>
      </c>
      <c r="E537" s="12" t="str">
        <f>Spieltag!C524</f>
        <v>Torwart</v>
      </c>
      <c r="F537" s="13" t="s">
        <v>619</v>
      </c>
      <c r="G537" s="14"/>
      <c r="H537" s="15">
        <f t="shared" ref="H537" si="1618">IF(G537="x",10,0)</f>
        <v>0</v>
      </c>
      <c r="I537" s="14"/>
      <c r="J537" s="15">
        <f t="shared" ref="J537" si="1619">IF((I537="x"),-10,0)</f>
        <v>0</v>
      </c>
      <c r="K537" s="14"/>
      <c r="L537" s="15">
        <f t="shared" ref="L537" si="1620">IF((K537="x"),-20,0)</f>
        <v>0</v>
      </c>
      <c r="M537" s="14"/>
      <c r="N537" s="15">
        <f t="shared" ref="N537" si="1621">IF((M537="x"),-30,0)</f>
        <v>0</v>
      </c>
      <c r="O537" s="16">
        <f t="shared" ref="O537:O559" si="1622">IF(AND($P$7&gt;$Q$7),20,IF($P$7=$Q$7,10,0))</f>
        <v>0</v>
      </c>
      <c r="P537" s="16">
        <f t="shared" ref="P537:P559" si="1623">IF(($P$7&lt;&gt;0),$P$7*10,-5)</f>
        <v>-5</v>
      </c>
      <c r="Q537" s="16">
        <f t="shared" ref="Q537:Q540" si="1624">IF(($Q$7&lt;&gt;0),$Q$7*-10,20)</f>
        <v>-40</v>
      </c>
      <c r="R537" s="14"/>
      <c r="S537" s="15">
        <f t="shared" ref="S537" si="1625">R537*20</f>
        <v>0</v>
      </c>
      <c r="T537" s="14"/>
      <c r="U537" s="15">
        <f t="shared" ref="U537" si="1626">T537*-15</f>
        <v>0</v>
      </c>
      <c r="V537" s="16">
        <f t="shared" ref="V537" si="1627">IF(AND(R537=2),10,IF(R537=3,30,IF(R537=4,50,IF(R537=5,70,0))))</f>
        <v>0</v>
      </c>
      <c r="W537" s="17">
        <f t="shared" ref="W537" si="1628">IF(G537="x",H537+J537+L537+N537+O537+P537+Q537+S537+U537+V537,0)</f>
        <v>0</v>
      </c>
    </row>
    <row r="538" spans="1:23" ht="10.5" hidden="1" customHeight="1" x14ac:dyDescent="0.2">
      <c r="A538" s="11"/>
      <c r="B538" s="149">
        <f>COUNTA(Spieltag!K525:AA525)</f>
        <v>0</v>
      </c>
      <c r="C538" s="166">
        <f>Spieltag!A525</f>
        <v>13</v>
      </c>
      <c r="D538" s="21" t="str">
        <f>Spieltag!B525</f>
        <v>Morten Behrens</v>
      </c>
      <c r="E538" s="12" t="str">
        <f>Spieltag!C525</f>
        <v>Torwart</v>
      </c>
      <c r="F538" s="13" t="s">
        <v>619</v>
      </c>
      <c r="G538" s="14"/>
      <c r="H538" s="15">
        <f t="shared" ref="H538:H539" si="1629">IF(G538="x",10,0)</f>
        <v>0</v>
      </c>
      <c r="I538" s="14"/>
      <c r="J538" s="15">
        <f t="shared" ref="J538:J539" si="1630">IF((I538="x"),-10,0)</f>
        <v>0</v>
      </c>
      <c r="K538" s="14"/>
      <c r="L538" s="15">
        <f t="shared" ref="L538:L539" si="1631">IF((K538="x"),-20,0)</f>
        <v>0</v>
      </c>
      <c r="M538" s="14"/>
      <c r="N538" s="15">
        <f t="shared" ref="N538:N539" si="1632">IF((M538="x"),-30,0)</f>
        <v>0</v>
      </c>
      <c r="O538" s="16">
        <f t="shared" si="1622"/>
        <v>0</v>
      </c>
      <c r="P538" s="16">
        <f t="shared" si="1623"/>
        <v>-5</v>
      </c>
      <c r="Q538" s="16">
        <f t="shared" si="1624"/>
        <v>-40</v>
      </c>
      <c r="R538" s="14"/>
      <c r="S538" s="15">
        <f t="shared" ref="S538:S539" si="1633">R538*20</f>
        <v>0</v>
      </c>
      <c r="T538" s="14"/>
      <c r="U538" s="15">
        <f t="shared" ref="U538:U539" si="1634">T538*-15</f>
        <v>0</v>
      </c>
      <c r="V538" s="16">
        <f t="shared" ref="V538:V539" si="1635">IF(AND(R538=2),10,IF(R538=3,30,IF(R538=4,50,IF(R538=5,70,0))))</f>
        <v>0</v>
      </c>
      <c r="W538" s="17">
        <f t="shared" ref="W538:W539" si="1636">IF(G538="x",H538+J538+L538+N538+O538+P538+Q538+S538+U538+V538,0)</f>
        <v>0</v>
      </c>
    </row>
    <row r="539" spans="1:23" ht="10.5" hidden="1" customHeight="1" x14ac:dyDescent="0.2">
      <c r="A539" s="11"/>
      <c r="B539" s="149">
        <f>COUNTA(Spieltag!K526:AA526)</f>
        <v>0</v>
      </c>
      <c r="C539" s="166">
        <f>Spieltag!A526</f>
        <v>30</v>
      </c>
      <c r="D539" s="21" t="str">
        <f>Spieltag!B526</f>
        <v>Alexander Brunst</v>
      </c>
      <c r="E539" s="12" t="str">
        <f>Spieltag!C526</f>
        <v>Torwart</v>
      </c>
      <c r="F539" s="13" t="s">
        <v>619</v>
      </c>
      <c r="G539" s="14"/>
      <c r="H539" s="15">
        <f t="shared" si="1629"/>
        <v>0</v>
      </c>
      <c r="I539" s="14"/>
      <c r="J539" s="15">
        <f t="shared" si="1630"/>
        <v>0</v>
      </c>
      <c r="K539" s="14"/>
      <c r="L539" s="15">
        <f t="shared" si="1631"/>
        <v>0</v>
      </c>
      <c r="M539" s="14"/>
      <c r="N539" s="15">
        <f t="shared" si="1632"/>
        <v>0</v>
      </c>
      <c r="O539" s="16">
        <f t="shared" si="1622"/>
        <v>0</v>
      </c>
      <c r="P539" s="16">
        <f t="shared" si="1623"/>
        <v>-5</v>
      </c>
      <c r="Q539" s="16">
        <f t="shared" si="1624"/>
        <v>-40</v>
      </c>
      <c r="R539" s="14"/>
      <c r="S539" s="15">
        <f t="shared" si="1633"/>
        <v>0</v>
      </c>
      <c r="T539" s="14"/>
      <c r="U539" s="15">
        <f t="shared" si="1634"/>
        <v>0</v>
      </c>
      <c r="V539" s="16">
        <f t="shared" si="1635"/>
        <v>0</v>
      </c>
      <c r="W539" s="17">
        <f t="shared" si="1636"/>
        <v>0</v>
      </c>
    </row>
    <row r="540" spans="1:23" ht="10.5" hidden="1" customHeight="1" x14ac:dyDescent="0.2">
      <c r="A540" s="11"/>
      <c r="B540" s="149">
        <f>COUNTA(Spieltag!K527:AA527)</f>
        <v>0</v>
      </c>
      <c r="C540" s="166">
        <f>Spieltag!A527</f>
        <v>45</v>
      </c>
      <c r="D540" s="21" t="str">
        <f>Spieltag!B527</f>
        <v>Max Wendt</v>
      </c>
      <c r="E540" s="12" t="str">
        <f>Spieltag!C527</f>
        <v>Torwart</v>
      </c>
      <c r="F540" s="13" t="s">
        <v>619</v>
      </c>
      <c r="G540" s="14"/>
      <c r="H540" s="15">
        <f t="shared" ref="H540" si="1637">IF(G540="x",10,0)</f>
        <v>0</v>
      </c>
      <c r="I540" s="14"/>
      <c r="J540" s="15">
        <f t="shared" ref="J540" si="1638">IF((I540="x"),-10,0)</f>
        <v>0</v>
      </c>
      <c r="K540" s="14"/>
      <c r="L540" s="15">
        <f t="shared" ref="L540" si="1639">IF((K540="x"),-20,0)</f>
        <v>0</v>
      </c>
      <c r="M540" s="14"/>
      <c r="N540" s="15">
        <f t="shared" ref="N540" si="1640">IF((M540="x"),-30,0)</f>
        <v>0</v>
      </c>
      <c r="O540" s="16">
        <f t="shared" si="1622"/>
        <v>0</v>
      </c>
      <c r="P540" s="16">
        <f t="shared" si="1623"/>
        <v>-5</v>
      </c>
      <c r="Q540" s="16">
        <f t="shared" si="1624"/>
        <v>-40</v>
      </c>
      <c r="R540" s="14"/>
      <c r="S540" s="15">
        <f t="shared" ref="S540" si="1641">R540*20</f>
        <v>0</v>
      </c>
      <c r="T540" s="14"/>
      <c r="U540" s="15">
        <f t="shared" ref="U540" si="1642">T540*-15</f>
        <v>0</v>
      </c>
      <c r="V540" s="16">
        <f t="shared" ref="V540" si="1643">IF(AND(R540=2),10,IF(R540=3,30,IF(R540=4,50,IF(R540=5,70,0))))</f>
        <v>0</v>
      </c>
      <c r="W540" s="17">
        <f t="shared" ref="W540" si="1644">IF(G540="x",H540+J540+L540+N540+O540+P540+Q540+S540+U540+V540,0)</f>
        <v>0</v>
      </c>
    </row>
    <row r="541" spans="1:23" ht="10.5" hidden="1" customHeight="1" x14ac:dyDescent="0.2">
      <c r="A541" s="11"/>
      <c r="B541" s="149">
        <f>COUNTA(Spieltag!K528:AA528)</f>
        <v>0</v>
      </c>
      <c r="C541" s="166">
        <f>Spieltag!A528</f>
        <v>3</v>
      </c>
      <c r="D541" s="21" t="str">
        <f>Spieltag!B528</f>
        <v>Thomas Isherwood (A)</v>
      </c>
      <c r="E541" s="12" t="str">
        <f>Spieltag!C528</f>
        <v>Abwehr</v>
      </c>
      <c r="F541" s="13" t="s">
        <v>619</v>
      </c>
      <c r="G541" s="14"/>
      <c r="H541" s="15">
        <f t="shared" ref="H541" si="1645">IF(G541="x",10,0)</f>
        <v>0</v>
      </c>
      <c r="I541" s="14"/>
      <c r="J541" s="15">
        <f t="shared" ref="J541" si="1646">IF((I541="x"),-10,0)</f>
        <v>0</v>
      </c>
      <c r="K541" s="14"/>
      <c r="L541" s="15">
        <f t="shared" ref="L541" si="1647">IF((K541="x"),-20,0)</f>
        <v>0</v>
      </c>
      <c r="M541" s="14"/>
      <c r="N541" s="15">
        <f t="shared" ref="N541" si="1648">IF((M541="x"),-30,0)</f>
        <v>0</v>
      </c>
      <c r="O541" s="16">
        <f t="shared" si="1622"/>
        <v>0</v>
      </c>
      <c r="P541" s="16">
        <f t="shared" si="1623"/>
        <v>-5</v>
      </c>
      <c r="Q541" s="16">
        <f t="shared" ref="Q541:Q549" si="1649">IF(($Q$7&lt;&gt;0),$Q$7*-10,15)</f>
        <v>-40</v>
      </c>
      <c r="R541" s="14"/>
      <c r="S541" s="15">
        <f t="shared" ref="S541" si="1650">R541*15</f>
        <v>0</v>
      </c>
      <c r="T541" s="14"/>
      <c r="U541" s="15">
        <f t="shared" ref="U541" si="1651">T541*-15</f>
        <v>0</v>
      </c>
      <c r="V541" s="16">
        <f t="shared" ref="V541" si="1652">IF(AND(R541=2),10,IF(R541=3,30,IF(R541=4,50,IF(R541=5,70,0))))</f>
        <v>0</v>
      </c>
      <c r="W541" s="17">
        <f t="shared" ref="W541" si="1653">IF(G541="x",H541+J541+L541+N541+O541+P541+Q541+S541+U541+V541,0)</f>
        <v>0</v>
      </c>
    </row>
    <row r="542" spans="1:23" ht="10.5" hidden="1" customHeight="1" x14ac:dyDescent="0.2">
      <c r="A542" s="11"/>
      <c r="B542" s="149">
        <f>COUNTA(Spieltag!K529:AA529)</f>
        <v>0</v>
      </c>
      <c r="C542" s="166">
        <f>Spieltag!A529</f>
        <v>4</v>
      </c>
      <c r="D542" s="21" t="str">
        <f>Spieltag!B529</f>
        <v>Christoph Zimmermann</v>
      </c>
      <c r="E542" s="12" t="str">
        <f>Spieltag!C529</f>
        <v>Abwehr</v>
      </c>
      <c r="F542" s="13" t="s">
        <v>619</v>
      </c>
      <c r="G542" s="14"/>
      <c r="H542" s="15">
        <f t="shared" ref="H542:H549" si="1654">IF(G542="x",10,0)</f>
        <v>0</v>
      </c>
      <c r="I542" s="14"/>
      <c r="J542" s="15">
        <f t="shared" ref="J542:J549" si="1655">IF((I542="x"),-10,0)</f>
        <v>0</v>
      </c>
      <c r="K542" s="14"/>
      <c r="L542" s="15">
        <f t="shared" ref="L542:L549" si="1656">IF((K542="x"),-20,0)</f>
        <v>0</v>
      </c>
      <c r="M542" s="14"/>
      <c r="N542" s="15">
        <f t="shared" ref="N542:N549" si="1657">IF((M542="x"),-30,0)</f>
        <v>0</v>
      </c>
      <c r="O542" s="16">
        <f t="shared" si="1622"/>
        <v>0</v>
      </c>
      <c r="P542" s="16">
        <f t="shared" si="1623"/>
        <v>-5</v>
      </c>
      <c r="Q542" s="16">
        <f t="shared" si="1649"/>
        <v>-40</v>
      </c>
      <c r="R542" s="14"/>
      <c r="S542" s="15">
        <f t="shared" ref="S542:S549" si="1658">R542*15</f>
        <v>0</v>
      </c>
      <c r="T542" s="14"/>
      <c r="U542" s="15">
        <f t="shared" ref="U542:U549" si="1659">T542*-15</f>
        <v>0</v>
      </c>
      <c r="V542" s="16">
        <f t="shared" ref="V542:V549" si="1660">IF(AND(R542=2),10,IF(R542=3,30,IF(R542=4,50,IF(R542=5,70,0))))</f>
        <v>0</v>
      </c>
      <c r="W542" s="17">
        <f t="shared" ref="W542:W549" si="1661">IF(G542="x",H542+J542+L542+N542+O542+P542+Q542+S542+U542+V542,0)</f>
        <v>0</v>
      </c>
    </row>
    <row r="543" spans="1:23" ht="10.5" hidden="1" customHeight="1" x14ac:dyDescent="0.2">
      <c r="A543" s="11"/>
      <c r="B543" s="149">
        <f>COUNTA(Spieltag!K530:AA530)</f>
        <v>0</v>
      </c>
      <c r="C543" s="166">
        <f>Spieltag!A530</f>
        <v>5</v>
      </c>
      <c r="D543" s="21" t="str">
        <f>Spieltag!B530</f>
        <v>Matej Maglica (A)</v>
      </c>
      <c r="E543" s="12" t="str">
        <f>Spieltag!C530</f>
        <v>Abwehr</v>
      </c>
      <c r="F543" s="13" t="s">
        <v>619</v>
      </c>
      <c r="G543" s="14"/>
      <c r="H543" s="15">
        <f t="shared" si="1654"/>
        <v>0</v>
      </c>
      <c r="I543" s="14"/>
      <c r="J543" s="15">
        <f t="shared" si="1655"/>
        <v>0</v>
      </c>
      <c r="K543" s="14"/>
      <c r="L543" s="15">
        <f t="shared" si="1656"/>
        <v>0</v>
      </c>
      <c r="M543" s="14"/>
      <c r="N543" s="15">
        <f t="shared" si="1657"/>
        <v>0</v>
      </c>
      <c r="O543" s="16">
        <f t="shared" si="1622"/>
        <v>0</v>
      </c>
      <c r="P543" s="16">
        <f t="shared" si="1623"/>
        <v>-5</v>
      </c>
      <c r="Q543" s="16">
        <f t="shared" si="1649"/>
        <v>-40</v>
      </c>
      <c r="R543" s="14"/>
      <c r="S543" s="15">
        <f t="shared" si="1658"/>
        <v>0</v>
      </c>
      <c r="T543" s="14"/>
      <c r="U543" s="15">
        <f t="shared" si="1659"/>
        <v>0</v>
      </c>
      <c r="V543" s="16">
        <f t="shared" si="1660"/>
        <v>0</v>
      </c>
      <c r="W543" s="17">
        <f t="shared" si="1661"/>
        <v>0</v>
      </c>
    </row>
    <row r="544" spans="1:23" ht="10.5" hidden="1" customHeight="1" x14ac:dyDescent="0.2">
      <c r="A544" s="11"/>
      <c r="B544" s="149">
        <f>COUNTA(Spieltag!K531:AA531)</f>
        <v>0</v>
      </c>
      <c r="C544" s="166">
        <f>Spieltag!A531</f>
        <v>14</v>
      </c>
      <c r="D544" s="21" t="str">
        <f>Spieltag!B531</f>
        <v>Christoph Klarer (A)</v>
      </c>
      <c r="E544" s="12" t="str">
        <f>Spieltag!C531</f>
        <v>Abwehr</v>
      </c>
      <c r="F544" s="13" t="s">
        <v>619</v>
      </c>
      <c r="G544" s="14"/>
      <c r="H544" s="15">
        <f t="shared" si="1654"/>
        <v>0</v>
      </c>
      <c r="I544" s="14"/>
      <c r="J544" s="15">
        <f t="shared" si="1655"/>
        <v>0</v>
      </c>
      <c r="K544" s="14"/>
      <c r="L544" s="15">
        <f t="shared" si="1656"/>
        <v>0</v>
      </c>
      <c r="M544" s="14"/>
      <c r="N544" s="15">
        <f t="shared" si="1657"/>
        <v>0</v>
      </c>
      <c r="O544" s="16">
        <f t="shared" si="1622"/>
        <v>0</v>
      </c>
      <c r="P544" s="16">
        <f t="shared" si="1623"/>
        <v>-5</v>
      </c>
      <c r="Q544" s="16">
        <f t="shared" si="1649"/>
        <v>-40</v>
      </c>
      <c r="R544" s="14"/>
      <c r="S544" s="15">
        <f t="shared" si="1658"/>
        <v>0</v>
      </c>
      <c r="T544" s="14"/>
      <c r="U544" s="15">
        <f t="shared" si="1659"/>
        <v>0</v>
      </c>
      <c r="V544" s="16">
        <f t="shared" si="1660"/>
        <v>0</v>
      </c>
      <c r="W544" s="17">
        <f t="shared" si="1661"/>
        <v>0</v>
      </c>
    </row>
    <row r="545" spans="1:23" ht="10.5" hidden="1" customHeight="1" x14ac:dyDescent="0.2">
      <c r="A545" s="11"/>
      <c r="B545" s="149">
        <f>COUNTA(Spieltag!K532:AA532)</f>
        <v>0</v>
      </c>
      <c r="C545" s="166">
        <f>Spieltag!A532</f>
        <v>19</v>
      </c>
      <c r="D545" s="21" t="str">
        <f>Spieltag!B532</f>
        <v>Emir Karic (A)</v>
      </c>
      <c r="E545" s="12" t="str">
        <f>Spieltag!C532</f>
        <v>Abwehr</v>
      </c>
      <c r="F545" s="13" t="s">
        <v>619</v>
      </c>
      <c r="G545" s="14"/>
      <c r="H545" s="15">
        <f t="shared" si="1654"/>
        <v>0</v>
      </c>
      <c r="I545" s="14"/>
      <c r="J545" s="15">
        <f t="shared" si="1655"/>
        <v>0</v>
      </c>
      <c r="K545" s="14"/>
      <c r="L545" s="15">
        <f t="shared" si="1656"/>
        <v>0</v>
      </c>
      <c r="M545" s="14"/>
      <c r="N545" s="15">
        <f t="shared" si="1657"/>
        <v>0</v>
      </c>
      <c r="O545" s="16">
        <f t="shared" si="1622"/>
        <v>0</v>
      </c>
      <c r="P545" s="16">
        <f t="shared" si="1623"/>
        <v>-5</v>
      </c>
      <c r="Q545" s="16">
        <f t="shared" si="1649"/>
        <v>-40</v>
      </c>
      <c r="R545" s="14"/>
      <c r="S545" s="15">
        <f t="shared" si="1658"/>
        <v>0</v>
      </c>
      <c r="T545" s="14"/>
      <c r="U545" s="15">
        <f t="shared" si="1659"/>
        <v>0</v>
      </c>
      <c r="V545" s="16">
        <f t="shared" si="1660"/>
        <v>0</v>
      </c>
      <c r="W545" s="17">
        <f t="shared" si="1661"/>
        <v>0</v>
      </c>
    </row>
    <row r="546" spans="1:23" ht="10.5" hidden="1" customHeight="1" x14ac:dyDescent="0.2">
      <c r="A546" s="11"/>
      <c r="B546" s="149">
        <f>COUNTA(Spieltag!K533:AA533)</f>
        <v>0</v>
      </c>
      <c r="C546" s="166">
        <f>Spieltag!A533</f>
        <v>20</v>
      </c>
      <c r="D546" s="21" t="str">
        <f>Spieltag!B533</f>
        <v>Jannik Müller</v>
      </c>
      <c r="E546" s="12" t="str">
        <f>Spieltag!C533</f>
        <v>Abwehr</v>
      </c>
      <c r="F546" s="13" t="s">
        <v>619</v>
      </c>
      <c r="G546" s="14"/>
      <c r="H546" s="15">
        <f t="shared" si="1654"/>
        <v>0</v>
      </c>
      <c r="I546" s="14"/>
      <c r="J546" s="15">
        <f t="shared" si="1655"/>
        <v>0</v>
      </c>
      <c r="K546" s="14"/>
      <c r="L546" s="15">
        <f t="shared" si="1656"/>
        <v>0</v>
      </c>
      <c r="M546" s="14"/>
      <c r="N546" s="15">
        <f t="shared" si="1657"/>
        <v>0</v>
      </c>
      <c r="O546" s="16">
        <f t="shared" si="1622"/>
        <v>0</v>
      </c>
      <c r="P546" s="16">
        <f t="shared" si="1623"/>
        <v>-5</v>
      </c>
      <c r="Q546" s="16">
        <f t="shared" si="1649"/>
        <v>-40</v>
      </c>
      <c r="R546" s="14"/>
      <c r="S546" s="15">
        <f t="shared" si="1658"/>
        <v>0</v>
      </c>
      <c r="T546" s="14"/>
      <c r="U546" s="15">
        <f t="shared" si="1659"/>
        <v>0</v>
      </c>
      <c r="V546" s="16">
        <f t="shared" si="1660"/>
        <v>0</v>
      </c>
      <c r="W546" s="17">
        <f t="shared" si="1661"/>
        <v>0</v>
      </c>
    </row>
    <row r="547" spans="1:23" ht="10.5" hidden="1" customHeight="1" x14ac:dyDescent="0.2">
      <c r="A547" s="11"/>
      <c r="B547" s="149">
        <f>COUNTA(Spieltag!K534:AA534)</f>
        <v>0</v>
      </c>
      <c r="C547" s="166">
        <f>Spieltag!A534</f>
        <v>26</v>
      </c>
      <c r="D547" s="21" t="str">
        <f>Spieltag!B534</f>
        <v>Matthias Bader</v>
      </c>
      <c r="E547" s="12" t="str">
        <f>Spieltag!C534</f>
        <v>Abwehr</v>
      </c>
      <c r="F547" s="13" t="s">
        <v>619</v>
      </c>
      <c r="G547" s="14"/>
      <c r="H547" s="15">
        <f t="shared" si="1654"/>
        <v>0</v>
      </c>
      <c r="I547" s="14"/>
      <c r="J547" s="15">
        <f t="shared" si="1655"/>
        <v>0</v>
      </c>
      <c r="K547" s="14"/>
      <c r="L547" s="15">
        <f t="shared" si="1656"/>
        <v>0</v>
      </c>
      <c r="M547" s="14"/>
      <c r="N547" s="15">
        <f t="shared" si="1657"/>
        <v>0</v>
      </c>
      <c r="O547" s="16">
        <f t="shared" si="1622"/>
        <v>0</v>
      </c>
      <c r="P547" s="16">
        <f t="shared" si="1623"/>
        <v>-5</v>
      </c>
      <c r="Q547" s="16">
        <f t="shared" si="1649"/>
        <v>-40</v>
      </c>
      <c r="R547" s="14"/>
      <c r="S547" s="15">
        <f t="shared" si="1658"/>
        <v>0</v>
      </c>
      <c r="T547" s="14"/>
      <c r="U547" s="15">
        <f t="shared" si="1659"/>
        <v>0</v>
      </c>
      <c r="V547" s="16">
        <f t="shared" si="1660"/>
        <v>0</v>
      </c>
      <c r="W547" s="17">
        <f t="shared" si="1661"/>
        <v>0</v>
      </c>
    </row>
    <row r="548" spans="1:23" ht="10.5" hidden="1" customHeight="1" x14ac:dyDescent="0.2">
      <c r="A548" s="11"/>
      <c r="B548" s="149">
        <f>COUNTA(Spieltag!K535:AA535)</f>
        <v>0</v>
      </c>
      <c r="C548" s="166">
        <f>Spieltag!A535</f>
        <v>32</v>
      </c>
      <c r="D548" s="21" t="str">
        <f>Spieltag!B535</f>
        <v>Fabian Holland</v>
      </c>
      <c r="E548" s="12" t="str">
        <f>Spieltag!C535</f>
        <v>Abwehr</v>
      </c>
      <c r="F548" s="13" t="s">
        <v>619</v>
      </c>
      <c r="G548" s="14"/>
      <c r="H548" s="15">
        <f t="shared" si="1654"/>
        <v>0</v>
      </c>
      <c r="I548" s="14"/>
      <c r="J548" s="15">
        <f t="shared" si="1655"/>
        <v>0</v>
      </c>
      <c r="K548" s="14"/>
      <c r="L548" s="15">
        <f t="shared" si="1656"/>
        <v>0</v>
      </c>
      <c r="M548" s="14"/>
      <c r="N548" s="15">
        <f t="shared" si="1657"/>
        <v>0</v>
      </c>
      <c r="O548" s="16">
        <f t="shared" si="1622"/>
        <v>0</v>
      </c>
      <c r="P548" s="16">
        <f t="shared" si="1623"/>
        <v>-5</v>
      </c>
      <c r="Q548" s="16">
        <f t="shared" si="1649"/>
        <v>-40</v>
      </c>
      <c r="R548" s="14"/>
      <c r="S548" s="15">
        <f t="shared" si="1658"/>
        <v>0</v>
      </c>
      <c r="T548" s="14"/>
      <c r="U548" s="15">
        <f t="shared" si="1659"/>
        <v>0</v>
      </c>
      <c r="V548" s="16">
        <f t="shared" si="1660"/>
        <v>0</v>
      </c>
      <c r="W548" s="17">
        <f t="shared" si="1661"/>
        <v>0</v>
      </c>
    </row>
    <row r="549" spans="1:23" ht="10.5" hidden="1" customHeight="1" x14ac:dyDescent="0.2">
      <c r="A549" s="11"/>
      <c r="B549" s="149">
        <f>COUNTA(Spieltag!K536:AA536)</f>
        <v>0</v>
      </c>
      <c r="C549" s="166">
        <f>Spieltag!A536</f>
        <v>38</v>
      </c>
      <c r="D549" s="21" t="str">
        <f>Spieltag!B536</f>
        <v>Clemens Riedel</v>
      </c>
      <c r="E549" s="12" t="str">
        <f>Spieltag!C536</f>
        <v>Abwehr</v>
      </c>
      <c r="F549" s="13" t="s">
        <v>619</v>
      </c>
      <c r="G549" s="14"/>
      <c r="H549" s="15">
        <f t="shared" si="1654"/>
        <v>0</v>
      </c>
      <c r="I549" s="14"/>
      <c r="J549" s="15">
        <f t="shared" si="1655"/>
        <v>0</v>
      </c>
      <c r="K549" s="14"/>
      <c r="L549" s="15">
        <f t="shared" si="1656"/>
        <v>0</v>
      </c>
      <c r="M549" s="14"/>
      <c r="N549" s="15">
        <f t="shared" si="1657"/>
        <v>0</v>
      </c>
      <c r="O549" s="16">
        <f t="shared" si="1622"/>
        <v>0</v>
      </c>
      <c r="P549" s="16">
        <f t="shared" si="1623"/>
        <v>-5</v>
      </c>
      <c r="Q549" s="16">
        <f t="shared" si="1649"/>
        <v>-40</v>
      </c>
      <c r="R549" s="14"/>
      <c r="S549" s="15">
        <f t="shared" si="1658"/>
        <v>0</v>
      </c>
      <c r="T549" s="14"/>
      <c r="U549" s="15">
        <f t="shared" si="1659"/>
        <v>0</v>
      </c>
      <c r="V549" s="16">
        <f t="shared" si="1660"/>
        <v>0</v>
      </c>
      <c r="W549" s="17">
        <f t="shared" si="1661"/>
        <v>0</v>
      </c>
    </row>
    <row r="550" spans="1:23" ht="10.5" hidden="1" customHeight="1" x14ac:dyDescent="0.2">
      <c r="A550" s="11"/>
      <c r="B550" s="149">
        <f>COUNTA(Spieltag!K537:AA537)</f>
        <v>0</v>
      </c>
      <c r="C550" s="166">
        <f>Spieltag!A537</f>
        <v>6</v>
      </c>
      <c r="D550" s="21" t="str">
        <f>Spieltag!B537</f>
        <v>Marvin Mehlem</v>
      </c>
      <c r="E550" s="12" t="str">
        <f>Spieltag!C537</f>
        <v>Mittelfeld</v>
      </c>
      <c r="F550" s="13" t="s">
        <v>619</v>
      </c>
      <c r="G550" s="14"/>
      <c r="H550" s="15">
        <f t="shared" ref="H550" si="1662">IF(G550="x",10,0)</f>
        <v>0</v>
      </c>
      <c r="I550" s="14"/>
      <c r="J550" s="15">
        <f t="shared" ref="J550" si="1663">IF((I550="x"),-10,0)</f>
        <v>0</v>
      </c>
      <c r="K550" s="14"/>
      <c r="L550" s="15">
        <f t="shared" ref="L550" si="1664">IF((K550="x"),-20,0)</f>
        <v>0</v>
      </c>
      <c r="M550" s="14"/>
      <c r="N550" s="15">
        <f t="shared" ref="N550" si="1665">IF((M550="x"),-30,0)</f>
        <v>0</v>
      </c>
      <c r="O550" s="16">
        <f t="shared" si="1622"/>
        <v>0</v>
      </c>
      <c r="P550" s="16">
        <f t="shared" si="1623"/>
        <v>-5</v>
      </c>
      <c r="Q550" s="16">
        <f t="shared" ref="Q550:Q559" si="1666">IF(($Q$7&lt;&gt;0),$Q$7*-10,10)</f>
        <v>-40</v>
      </c>
      <c r="R550" s="14"/>
      <c r="S550" s="15">
        <f t="shared" ref="S550" si="1667">R550*10</f>
        <v>0</v>
      </c>
      <c r="T550" s="14"/>
      <c r="U550" s="15">
        <f t="shared" ref="U550" si="1668">T550*-15</f>
        <v>0</v>
      </c>
      <c r="V550" s="16">
        <f t="shared" ref="V550" si="1669">IF(AND(R550=2),10,IF(R550=3,30,IF(R550=4,50,IF(R550=5,70,0))))</f>
        <v>0</v>
      </c>
      <c r="W550" s="17">
        <f t="shared" ref="W550" si="1670">IF(G550="x",H550+J550+L550+N550+O550+P550+Q550+S550+U550+V550,0)</f>
        <v>0</v>
      </c>
    </row>
    <row r="551" spans="1:23" ht="10.5" hidden="1" customHeight="1" x14ac:dyDescent="0.2">
      <c r="A551" s="11"/>
      <c r="B551" s="149">
        <f>COUNTA(Spieltag!K538:AA538)</f>
        <v>0</v>
      </c>
      <c r="C551" s="166">
        <f>Spieltag!A538</f>
        <v>7</v>
      </c>
      <c r="D551" s="21" t="str">
        <f>Spieltag!B538</f>
        <v>Braydon Manu (A)</v>
      </c>
      <c r="E551" s="12" t="str">
        <f>Spieltag!C538</f>
        <v>Mittelfeld</v>
      </c>
      <c r="F551" s="13" t="s">
        <v>619</v>
      </c>
      <c r="G551" s="14"/>
      <c r="H551" s="15">
        <f t="shared" ref="H551:H559" si="1671">IF(G551="x",10,0)</f>
        <v>0</v>
      </c>
      <c r="I551" s="14"/>
      <c r="J551" s="15">
        <f t="shared" ref="J551:J559" si="1672">IF((I551="x"),-10,0)</f>
        <v>0</v>
      </c>
      <c r="K551" s="14"/>
      <c r="L551" s="15">
        <f t="shared" ref="L551:L559" si="1673">IF((K551="x"),-20,0)</f>
        <v>0</v>
      </c>
      <c r="M551" s="14"/>
      <c r="N551" s="15">
        <f t="shared" ref="N551:N559" si="1674">IF((M551="x"),-30,0)</f>
        <v>0</v>
      </c>
      <c r="O551" s="16">
        <f t="shared" si="1622"/>
        <v>0</v>
      </c>
      <c r="P551" s="16">
        <f t="shared" si="1623"/>
        <v>-5</v>
      </c>
      <c r="Q551" s="16">
        <f t="shared" si="1666"/>
        <v>-40</v>
      </c>
      <c r="R551" s="14"/>
      <c r="S551" s="15">
        <f t="shared" ref="S551:S559" si="1675">R551*10</f>
        <v>0</v>
      </c>
      <c r="T551" s="14"/>
      <c r="U551" s="15">
        <f t="shared" ref="U551:U559" si="1676">T551*-15</f>
        <v>0</v>
      </c>
      <c r="V551" s="16">
        <f t="shared" ref="V551:V559" si="1677">IF(AND(R551=2),10,IF(R551=3,30,IF(R551=4,50,IF(R551=5,70,0))))</f>
        <v>0</v>
      </c>
      <c r="W551" s="17">
        <f t="shared" ref="W551:W559" si="1678">IF(G551="x",H551+J551+L551+N551+O551+P551+Q551+S551+U551+V551,0)</f>
        <v>0</v>
      </c>
    </row>
    <row r="552" spans="1:23" ht="10.5" hidden="1" customHeight="1" x14ac:dyDescent="0.2">
      <c r="A552" s="11"/>
      <c r="B552" s="149">
        <f>COUNTA(Spieltag!K539:AA539)</f>
        <v>0</v>
      </c>
      <c r="C552" s="166">
        <f>Spieltag!A539</f>
        <v>8</v>
      </c>
      <c r="D552" s="21" t="str">
        <f>Spieltag!B539</f>
        <v>Fabian Schnellhardt</v>
      </c>
      <c r="E552" s="12" t="str">
        <f>Spieltag!C539</f>
        <v>Mittelfeld</v>
      </c>
      <c r="F552" s="13" t="s">
        <v>619</v>
      </c>
      <c r="G552" s="14"/>
      <c r="H552" s="15">
        <f t="shared" si="1671"/>
        <v>0</v>
      </c>
      <c r="I552" s="14"/>
      <c r="J552" s="15">
        <f t="shared" si="1672"/>
        <v>0</v>
      </c>
      <c r="K552" s="14"/>
      <c r="L552" s="15">
        <f t="shared" si="1673"/>
        <v>0</v>
      </c>
      <c r="M552" s="14"/>
      <c r="N552" s="15">
        <f t="shared" si="1674"/>
        <v>0</v>
      </c>
      <c r="O552" s="16">
        <f t="shared" si="1622"/>
        <v>0</v>
      </c>
      <c r="P552" s="16">
        <f t="shared" si="1623"/>
        <v>-5</v>
      </c>
      <c r="Q552" s="16">
        <f t="shared" si="1666"/>
        <v>-40</v>
      </c>
      <c r="R552" s="14"/>
      <c r="S552" s="15">
        <f t="shared" si="1675"/>
        <v>0</v>
      </c>
      <c r="T552" s="14"/>
      <c r="U552" s="15">
        <f t="shared" si="1676"/>
        <v>0</v>
      </c>
      <c r="V552" s="16">
        <f t="shared" si="1677"/>
        <v>0</v>
      </c>
      <c r="W552" s="17">
        <f t="shared" si="1678"/>
        <v>0</v>
      </c>
    </row>
    <row r="553" spans="1:23" ht="10.5" hidden="1" customHeight="1" x14ac:dyDescent="0.2">
      <c r="A553" s="11"/>
      <c r="B553" s="149">
        <f>COUNTA(Spieltag!K540:AA540)</f>
        <v>0</v>
      </c>
      <c r="C553" s="166">
        <f>Spieltag!A540</f>
        <v>11</v>
      </c>
      <c r="D553" s="21" t="str">
        <f>Spieltag!B540</f>
        <v>Tobias Kempe</v>
      </c>
      <c r="E553" s="12" t="str">
        <f>Spieltag!C540</f>
        <v>Mittelfeld</v>
      </c>
      <c r="F553" s="13" t="s">
        <v>619</v>
      </c>
      <c r="G553" s="14"/>
      <c r="H553" s="15">
        <f t="shared" si="1671"/>
        <v>0</v>
      </c>
      <c r="I553" s="14"/>
      <c r="J553" s="15">
        <f t="shared" si="1672"/>
        <v>0</v>
      </c>
      <c r="K553" s="14"/>
      <c r="L553" s="15">
        <f t="shared" si="1673"/>
        <v>0</v>
      </c>
      <c r="M553" s="14"/>
      <c r="N553" s="15">
        <f t="shared" si="1674"/>
        <v>0</v>
      </c>
      <c r="O553" s="16">
        <f t="shared" si="1622"/>
        <v>0</v>
      </c>
      <c r="P553" s="16">
        <f t="shared" si="1623"/>
        <v>-5</v>
      </c>
      <c r="Q553" s="16">
        <f t="shared" si="1666"/>
        <v>-40</v>
      </c>
      <c r="R553" s="14"/>
      <c r="S553" s="15">
        <f t="shared" si="1675"/>
        <v>0</v>
      </c>
      <c r="T553" s="14"/>
      <c r="U553" s="15">
        <f t="shared" si="1676"/>
        <v>0</v>
      </c>
      <c r="V553" s="16">
        <f t="shared" si="1677"/>
        <v>0</v>
      </c>
      <c r="W553" s="17">
        <f t="shared" si="1678"/>
        <v>0</v>
      </c>
    </row>
    <row r="554" spans="1:23" ht="10.5" hidden="1" customHeight="1" x14ac:dyDescent="0.2">
      <c r="A554" s="11"/>
      <c r="B554" s="149">
        <f>COUNTA(Spieltag!K541:AA541)</f>
        <v>0</v>
      </c>
      <c r="C554" s="166">
        <f>Spieltag!A541</f>
        <v>15</v>
      </c>
      <c r="D554" s="21" t="str">
        <f>Spieltag!B541</f>
        <v>Fabian Nürnberger</v>
      </c>
      <c r="E554" s="12" t="str">
        <f>Spieltag!C541</f>
        <v>Mittelfeld</v>
      </c>
      <c r="F554" s="13" t="s">
        <v>619</v>
      </c>
      <c r="G554" s="14"/>
      <c r="H554" s="15">
        <f t="shared" si="1671"/>
        <v>0</v>
      </c>
      <c r="I554" s="14"/>
      <c r="J554" s="15">
        <f t="shared" si="1672"/>
        <v>0</v>
      </c>
      <c r="K554" s="14"/>
      <c r="L554" s="15">
        <f t="shared" si="1673"/>
        <v>0</v>
      </c>
      <c r="M554" s="14"/>
      <c r="N554" s="15">
        <f t="shared" si="1674"/>
        <v>0</v>
      </c>
      <c r="O554" s="16">
        <f t="shared" si="1622"/>
        <v>0</v>
      </c>
      <c r="P554" s="16">
        <f t="shared" si="1623"/>
        <v>-5</v>
      </c>
      <c r="Q554" s="16">
        <f t="shared" si="1666"/>
        <v>-40</v>
      </c>
      <c r="R554" s="14"/>
      <c r="S554" s="15">
        <f t="shared" si="1675"/>
        <v>0</v>
      </c>
      <c r="T554" s="14"/>
      <c r="U554" s="15">
        <f t="shared" si="1676"/>
        <v>0</v>
      </c>
      <c r="V554" s="16">
        <f t="shared" si="1677"/>
        <v>0</v>
      </c>
      <c r="W554" s="17">
        <f t="shared" si="1678"/>
        <v>0</v>
      </c>
    </row>
    <row r="555" spans="1:23" ht="10.5" hidden="1" customHeight="1" x14ac:dyDescent="0.2">
      <c r="A555" s="11"/>
      <c r="B555" s="149">
        <f>COUNTA(Spieltag!K542:AA542)</f>
        <v>0</v>
      </c>
      <c r="C555" s="166">
        <f>Spieltag!A542</f>
        <v>16</v>
      </c>
      <c r="D555" s="21" t="str">
        <f>Spieltag!B542</f>
        <v>Andreas Müller</v>
      </c>
      <c r="E555" s="12" t="str">
        <f>Spieltag!C542</f>
        <v>Mittelfeld</v>
      </c>
      <c r="F555" s="13" t="s">
        <v>619</v>
      </c>
      <c r="G555" s="14"/>
      <c r="H555" s="15">
        <f t="shared" si="1671"/>
        <v>0</v>
      </c>
      <c r="I555" s="14"/>
      <c r="J555" s="15">
        <f t="shared" si="1672"/>
        <v>0</v>
      </c>
      <c r="K555" s="14"/>
      <c r="L555" s="15">
        <f t="shared" si="1673"/>
        <v>0</v>
      </c>
      <c r="M555" s="14"/>
      <c r="N555" s="15">
        <f t="shared" si="1674"/>
        <v>0</v>
      </c>
      <c r="O555" s="16">
        <f t="shared" si="1622"/>
        <v>0</v>
      </c>
      <c r="P555" s="16">
        <f t="shared" si="1623"/>
        <v>-5</v>
      </c>
      <c r="Q555" s="16">
        <f t="shared" si="1666"/>
        <v>-40</v>
      </c>
      <c r="R555" s="14"/>
      <c r="S555" s="15">
        <f t="shared" si="1675"/>
        <v>0</v>
      </c>
      <c r="T555" s="14"/>
      <c r="U555" s="15">
        <f t="shared" si="1676"/>
        <v>0</v>
      </c>
      <c r="V555" s="16">
        <f t="shared" si="1677"/>
        <v>0</v>
      </c>
      <c r="W555" s="17">
        <f t="shared" si="1678"/>
        <v>0</v>
      </c>
    </row>
    <row r="556" spans="1:23" ht="10.5" hidden="1" customHeight="1" x14ac:dyDescent="0.2">
      <c r="A556" s="11"/>
      <c r="B556" s="149">
        <f>COUNTA(Spieltag!K543:AA543)</f>
        <v>0</v>
      </c>
      <c r="C556" s="166">
        <f>Spieltag!A543</f>
        <v>17</v>
      </c>
      <c r="D556" s="21" t="str">
        <f>Spieltag!B543</f>
        <v>Julian Justvan</v>
      </c>
      <c r="E556" s="12" t="str">
        <f>Spieltag!C543</f>
        <v>Mittelfeld</v>
      </c>
      <c r="F556" s="13" t="s">
        <v>619</v>
      </c>
      <c r="G556" s="14"/>
      <c r="H556" s="15">
        <f t="shared" ref="H556" si="1679">IF(G556="x",10,0)</f>
        <v>0</v>
      </c>
      <c r="I556" s="14"/>
      <c r="J556" s="15">
        <f t="shared" ref="J556" si="1680">IF((I556="x"),-10,0)</f>
        <v>0</v>
      </c>
      <c r="K556" s="14"/>
      <c r="L556" s="15">
        <f t="shared" ref="L556" si="1681">IF((K556="x"),-20,0)</f>
        <v>0</v>
      </c>
      <c r="M556" s="14"/>
      <c r="N556" s="15">
        <f t="shared" ref="N556" si="1682">IF((M556="x"),-30,0)</f>
        <v>0</v>
      </c>
      <c r="O556" s="16">
        <f t="shared" si="1622"/>
        <v>0</v>
      </c>
      <c r="P556" s="16">
        <f t="shared" si="1623"/>
        <v>-5</v>
      </c>
      <c r="Q556" s="16">
        <f t="shared" si="1666"/>
        <v>-40</v>
      </c>
      <c r="R556" s="14"/>
      <c r="S556" s="15">
        <f t="shared" ref="S556" si="1683">R556*10</f>
        <v>0</v>
      </c>
      <c r="T556" s="14"/>
      <c r="U556" s="15">
        <f t="shared" ref="U556" si="1684">T556*-15</f>
        <v>0</v>
      </c>
      <c r="V556" s="16">
        <f t="shared" ref="V556" si="1685">IF(AND(R556=2),10,IF(R556=3,30,IF(R556=4,50,IF(R556=5,70,0))))</f>
        <v>0</v>
      </c>
      <c r="W556" s="17">
        <f t="shared" ref="W556" si="1686">IF(G556="x",H556+J556+L556+N556+O556+P556+Q556+S556+U556+V556,0)</f>
        <v>0</v>
      </c>
    </row>
    <row r="557" spans="1:23" ht="10.5" hidden="1" customHeight="1" x14ac:dyDescent="0.2">
      <c r="A557" s="11"/>
      <c r="B557" s="149">
        <f>COUNTA(Spieltag!K544:AA544)</f>
        <v>0</v>
      </c>
      <c r="C557" s="166">
        <f>Spieltag!A544</f>
        <v>18</v>
      </c>
      <c r="D557" s="21" t="str">
        <f>Spieltag!B544</f>
        <v>Mathias Honsak (A)</v>
      </c>
      <c r="E557" s="12" t="str">
        <f>Spieltag!C544</f>
        <v>Mittelfeld</v>
      </c>
      <c r="F557" s="13" t="s">
        <v>619</v>
      </c>
      <c r="G557" s="14"/>
      <c r="H557" s="15">
        <f t="shared" si="1671"/>
        <v>0</v>
      </c>
      <c r="I557" s="14"/>
      <c r="J557" s="15">
        <f t="shared" si="1672"/>
        <v>0</v>
      </c>
      <c r="K557" s="14"/>
      <c r="L557" s="15">
        <f t="shared" si="1673"/>
        <v>0</v>
      </c>
      <c r="M557" s="14"/>
      <c r="N557" s="15">
        <f t="shared" si="1674"/>
        <v>0</v>
      </c>
      <c r="O557" s="16">
        <f t="shared" si="1622"/>
        <v>0</v>
      </c>
      <c r="P557" s="16">
        <f t="shared" si="1623"/>
        <v>-5</v>
      </c>
      <c r="Q557" s="16">
        <f t="shared" si="1666"/>
        <v>-40</v>
      </c>
      <c r="R557" s="14"/>
      <c r="S557" s="15">
        <f t="shared" si="1675"/>
        <v>0</v>
      </c>
      <c r="T557" s="14"/>
      <c r="U557" s="15">
        <f t="shared" si="1676"/>
        <v>0</v>
      </c>
      <c r="V557" s="16">
        <f t="shared" si="1677"/>
        <v>0</v>
      </c>
      <c r="W557" s="17">
        <f t="shared" si="1678"/>
        <v>0</v>
      </c>
    </row>
    <row r="558" spans="1:23" ht="10.5" hidden="1" customHeight="1" x14ac:dyDescent="0.2">
      <c r="A558" s="11"/>
      <c r="B558" s="149">
        <f>COUNTA(Spieltag!K545:AA545)</f>
        <v>0</v>
      </c>
      <c r="C558" s="166">
        <f>Spieltag!A545</f>
        <v>23</v>
      </c>
      <c r="D558" s="21" t="str">
        <f>Spieltag!B545</f>
        <v>Klaus Gjasula (A)</v>
      </c>
      <c r="E558" s="12" t="str">
        <f>Spieltag!C545</f>
        <v>Mittelfeld</v>
      </c>
      <c r="F558" s="13" t="s">
        <v>619</v>
      </c>
      <c r="G558" s="14"/>
      <c r="H558" s="15">
        <f t="shared" ref="H558" si="1687">IF(G558="x",10,0)</f>
        <v>0</v>
      </c>
      <c r="I558" s="14"/>
      <c r="J558" s="15">
        <f t="shared" ref="J558" si="1688">IF((I558="x"),-10,0)</f>
        <v>0</v>
      </c>
      <c r="K558" s="14"/>
      <c r="L558" s="15">
        <f t="shared" ref="L558" si="1689">IF((K558="x"),-20,0)</f>
        <v>0</v>
      </c>
      <c r="M558" s="14"/>
      <c r="N558" s="15">
        <f t="shared" ref="N558" si="1690">IF((M558="x"),-30,0)</f>
        <v>0</v>
      </c>
      <c r="O558" s="16">
        <f t="shared" si="1622"/>
        <v>0</v>
      </c>
      <c r="P558" s="16">
        <f t="shared" si="1623"/>
        <v>-5</v>
      </c>
      <c r="Q558" s="16">
        <f t="shared" si="1666"/>
        <v>-40</v>
      </c>
      <c r="R558" s="14"/>
      <c r="S558" s="15">
        <f t="shared" ref="S558" si="1691">R558*10</f>
        <v>0</v>
      </c>
      <c r="T558" s="14"/>
      <c r="U558" s="15">
        <f t="shared" ref="U558" si="1692">T558*-15</f>
        <v>0</v>
      </c>
      <c r="V558" s="16">
        <f t="shared" ref="V558" si="1693">IF(AND(R558=2),10,IF(R558=3,30,IF(R558=4,50,IF(R558=5,70,0))))</f>
        <v>0</v>
      </c>
      <c r="W558" s="17">
        <f t="shared" ref="W558" si="1694">IF(G558="x",H558+J558+L558+N558+O558+P558+Q558+S558+U558+V558,0)</f>
        <v>0</v>
      </c>
    </row>
    <row r="559" spans="1:23" ht="10.5" hidden="1" customHeight="1" x14ac:dyDescent="0.2">
      <c r="A559" s="11"/>
      <c r="B559" s="149">
        <f>COUNTA(Spieltag!K546:AA546)</f>
        <v>0</v>
      </c>
      <c r="C559" s="166">
        <f>Spieltag!A546</f>
        <v>28</v>
      </c>
      <c r="D559" s="21" t="str">
        <f>Spieltag!B546</f>
        <v>Bartol Franjic (A)</v>
      </c>
      <c r="E559" s="12" t="str">
        <f>Spieltag!C546</f>
        <v>Mittelfeld</v>
      </c>
      <c r="F559" s="13" t="s">
        <v>619</v>
      </c>
      <c r="G559" s="14"/>
      <c r="H559" s="15">
        <f t="shared" si="1671"/>
        <v>0</v>
      </c>
      <c r="I559" s="14"/>
      <c r="J559" s="15">
        <f t="shared" si="1672"/>
        <v>0</v>
      </c>
      <c r="K559" s="14"/>
      <c r="L559" s="15">
        <f t="shared" si="1673"/>
        <v>0</v>
      </c>
      <c r="M559" s="14"/>
      <c r="N559" s="15">
        <f t="shared" si="1674"/>
        <v>0</v>
      </c>
      <c r="O559" s="16">
        <f t="shared" si="1622"/>
        <v>0</v>
      </c>
      <c r="P559" s="16">
        <f t="shared" si="1623"/>
        <v>-5</v>
      </c>
      <c r="Q559" s="16">
        <f t="shared" si="1666"/>
        <v>-40</v>
      </c>
      <c r="R559" s="14"/>
      <c r="S559" s="15">
        <f t="shared" si="1675"/>
        <v>0</v>
      </c>
      <c r="T559" s="14"/>
      <c r="U559" s="15">
        <f t="shared" si="1676"/>
        <v>0</v>
      </c>
      <c r="V559" s="16">
        <f t="shared" si="1677"/>
        <v>0</v>
      </c>
      <c r="W559" s="17">
        <f t="shared" si="1678"/>
        <v>0</v>
      </c>
    </row>
    <row r="560" spans="1:23" ht="10.5" hidden="1" customHeight="1" x14ac:dyDescent="0.2">
      <c r="A560" s="11"/>
      <c r="B560" s="149">
        <f>COUNTA(Spieltag!K547:AA547)</f>
        <v>0</v>
      </c>
      <c r="C560" s="166">
        <f>Spieltag!A547</f>
        <v>9</v>
      </c>
      <c r="D560" s="21" t="str">
        <f>Spieltag!B547</f>
        <v>Fraser Hornby (A)</v>
      </c>
      <c r="E560" s="12" t="str">
        <f>Spieltag!C547</f>
        <v>Sturm</v>
      </c>
      <c r="F560" s="13" t="s">
        <v>619</v>
      </c>
      <c r="G560" s="14"/>
      <c r="H560" s="15">
        <f t="shared" ref="H560:H561" si="1695">IF(G560="x",10,0)</f>
        <v>0</v>
      </c>
      <c r="I560" s="14"/>
      <c r="J560" s="15">
        <f t="shared" ref="J560:J561" si="1696">IF((I560="x"),-10,0)</f>
        <v>0</v>
      </c>
      <c r="K560" s="14"/>
      <c r="L560" s="15">
        <f t="shared" ref="L560:L561" si="1697">IF((K560="x"),-20,0)</f>
        <v>0</v>
      </c>
      <c r="M560" s="14"/>
      <c r="N560" s="15">
        <f t="shared" ref="N560:N561" si="1698">IF((M560="x"),-30,0)</f>
        <v>0</v>
      </c>
      <c r="O560" s="16">
        <f t="shared" ref="O560:O567" si="1699">IF(AND($P$7&gt;$Q$7),20,IF($P$7=$Q$7,10,0))</f>
        <v>0</v>
      </c>
      <c r="P560" s="16">
        <f t="shared" ref="P560:P567" si="1700">IF(($P$7&lt;&gt;0),$P$7*10,-5)</f>
        <v>-5</v>
      </c>
      <c r="Q560" s="16">
        <f t="shared" ref="Q560:Q567" si="1701">IF(($Q$7&lt;&gt;0),$Q$7*-10,5)</f>
        <v>-40</v>
      </c>
      <c r="R560" s="14"/>
      <c r="S560" s="15">
        <f t="shared" ref="S560:S561" si="1702">R560*10</f>
        <v>0</v>
      </c>
      <c r="T560" s="14"/>
      <c r="U560" s="15">
        <f t="shared" ref="U560:U561" si="1703">T560*-15</f>
        <v>0</v>
      </c>
      <c r="V560" s="16">
        <f t="shared" ref="V560:V561" si="1704">IF(AND(R560=2),10,IF(R560=3,30,IF(R560=4,50,IF(R560=5,70,0))))</f>
        <v>0</v>
      </c>
      <c r="W560" s="17">
        <f t="shared" ref="W560:W561" si="1705">IF(G560="x",H560+J560+L560+N560+O560+P560+Q560+S560+U560+V560,0)</f>
        <v>0</v>
      </c>
    </row>
    <row r="561" spans="1:23" ht="10.5" hidden="1" customHeight="1" x14ac:dyDescent="0.2">
      <c r="A561" s="11"/>
      <c r="B561" s="149">
        <f>COUNTA(Spieltag!K548:AA548)</f>
        <v>0</v>
      </c>
      <c r="C561" s="166">
        <f>Spieltag!A548</f>
        <v>22</v>
      </c>
      <c r="D561" s="21" t="str">
        <f>Spieltag!B548</f>
        <v>Aaron Seydel</v>
      </c>
      <c r="E561" s="12" t="str">
        <f>Spieltag!C548</f>
        <v>Sturm</v>
      </c>
      <c r="F561" s="13" t="s">
        <v>619</v>
      </c>
      <c r="G561" s="14"/>
      <c r="H561" s="15">
        <f t="shared" si="1695"/>
        <v>0</v>
      </c>
      <c r="I561" s="14"/>
      <c r="J561" s="15">
        <f t="shared" si="1696"/>
        <v>0</v>
      </c>
      <c r="K561" s="14"/>
      <c r="L561" s="15">
        <f t="shared" si="1697"/>
        <v>0</v>
      </c>
      <c r="M561" s="14"/>
      <c r="N561" s="15">
        <f t="shared" si="1698"/>
        <v>0</v>
      </c>
      <c r="O561" s="16">
        <f t="shared" si="1699"/>
        <v>0</v>
      </c>
      <c r="P561" s="16">
        <f t="shared" si="1700"/>
        <v>-5</v>
      </c>
      <c r="Q561" s="16">
        <f t="shared" si="1701"/>
        <v>-40</v>
      </c>
      <c r="R561" s="14"/>
      <c r="S561" s="15">
        <f t="shared" si="1702"/>
        <v>0</v>
      </c>
      <c r="T561" s="14"/>
      <c r="U561" s="15">
        <f t="shared" si="1703"/>
        <v>0</v>
      </c>
      <c r="V561" s="16">
        <f t="shared" si="1704"/>
        <v>0</v>
      </c>
      <c r="W561" s="17">
        <f t="shared" si="1705"/>
        <v>0</v>
      </c>
    </row>
    <row r="562" spans="1:23" ht="10.5" hidden="1" customHeight="1" x14ac:dyDescent="0.2">
      <c r="A562" s="11"/>
      <c r="B562" s="149">
        <f>COUNTA(Spieltag!K549:AA549)</f>
        <v>0</v>
      </c>
      <c r="C562" s="166">
        <f>Spieltag!A549</f>
        <v>24</v>
      </c>
      <c r="D562" s="21" t="str">
        <f>Spieltag!B549</f>
        <v>Luca Pfeiffer</v>
      </c>
      <c r="E562" s="12" t="str">
        <f>Spieltag!C549</f>
        <v>Sturm</v>
      </c>
      <c r="F562" s="13" t="s">
        <v>619</v>
      </c>
      <c r="G562" s="14"/>
      <c r="H562" s="15">
        <f t="shared" ref="H562:H566" si="1706">IF(G562="x",10,0)</f>
        <v>0</v>
      </c>
      <c r="I562" s="14"/>
      <c r="J562" s="15">
        <f t="shared" ref="J562:J566" si="1707">IF((I562="x"),-10,0)</f>
        <v>0</v>
      </c>
      <c r="K562" s="14"/>
      <c r="L562" s="15">
        <f t="shared" ref="L562:L566" si="1708">IF((K562="x"),-20,0)</f>
        <v>0</v>
      </c>
      <c r="M562" s="14"/>
      <c r="N562" s="15">
        <f t="shared" ref="N562:N566" si="1709">IF((M562="x"),-30,0)</f>
        <v>0</v>
      </c>
      <c r="O562" s="16">
        <f t="shared" si="1699"/>
        <v>0</v>
      </c>
      <c r="P562" s="16">
        <f t="shared" si="1700"/>
        <v>-5</v>
      </c>
      <c r="Q562" s="16">
        <f t="shared" si="1701"/>
        <v>-40</v>
      </c>
      <c r="R562" s="14"/>
      <c r="S562" s="15">
        <f t="shared" ref="S562:S566" si="1710">R562*10</f>
        <v>0</v>
      </c>
      <c r="T562" s="14"/>
      <c r="U562" s="15">
        <f t="shared" ref="U562:U566" si="1711">T562*-15</f>
        <v>0</v>
      </c>
      <c r="V562" s="16">
        <f t="shared" ref="V562:V566" si="1712">IF(AND(R562=2),10,IF(R562=3,30,IF(R562=4,50,IF(R562=5,70,0))))</f>
        <v>0</v>
      </c>
      <c r="W562" s="17">
        <f t="shared" ref="W562:W566" si="1713">IF(G562="x",H562+J562+L562+N562+O562+P562+Q562+S562+U562+V562,0)</f>
        <v>0</v>
      </c>
    </row>
    <row r="563" spans="1:23" ht="10.5" hidden="1" customHeight="1" x14ac:dyDescent="0.2">
      <c r="A563" s="11"/>
      <c r="B563" s="149">
        <f>COUNTA(Spieltag!K550:AA550)</f>
        <v>0</v>
      </c>
      <c r="C563" s="166">
        <f>Spieltag!A550</f>
        <v>25</v>
      </c>
      <c r="D563" s="21" t="str">
        <f>Spieltag!B550</f>
        <v>Gerrit Holtmann</v>
      </c>
      <c r="E563" s="12" t="str">
        <f>Spieltag!C550</f>
        <v>Sturm</v>
      </c>
      <c r="F563" s="13" t="s">
        <v>619</v>
      </c>
      <c r="G563" s="14"/>
      <c r="H563" s="15">
        <f>IF(G563="x",10,0)</f>
        <v>0</v>
      </c>
      <c r="I563" s="14"/>
      <c r="J563" s="15">
        <f>IF((I563="x"),-10,0)</f>
        <v>0</v>
      </c>
      <c r="K563" s="14"/>
      <c r="L563" s="15">
        <f>IF((K563="x"),-20,0)</f>
        <v>0</v>
      </c>
      <c r="M563" s="14"/>
      <c r="N563" s="15">
        <f>IF((M563="x"),-30,0)</f>
        <v>0</v>
      </c>
      <c r="O563" s="16">
        <f t="shared" si="1699"/>
        <v>0</v>
      </c>
      <c r="P563" s="16">
        <f t="shared" si="1700"/>
        <v>-5</v>
      </c>
      <c r="Q563" s="16">
        <f t="shared" si="1701"/>
        <v>-40</v>
      </c>
      <c r="R563" s="14"/>
      <c r="S563" s="15">
        <f>R563*10</f>
        <v>0</v>
      </c>
      <c r="T563" s="14"/>
      <c r="U563" s="15">
        <f>T563*-15</f>
        <v>0</v>
      </c>
      <c r="V563" s="16">
        <f>IF(AND(R563=2),10,IF(R563=3,30,IF(R563=4,50,IF(R563=5,70,0))))</f>
        <v>0</v>
      </c>
      <c r="W563" s="17">
        <f>IF(G563="x",H563+J563+L563+N563+O563+P563+Q563+S563+U563+V563,0)</f>
        <v>0</v>
      </c>
    </row>
    <row r="564" spans="1:23" ht="10.5" hidden="1" customHeight="1" x14ac:dyDescent="0.2">
      <c r="A564" s="11"/>
      <c r="B564" s="149">
        <f>COUNTA(Spieltag!K551:AA551)</f>
        <v>0</v>
      </c>
      <c r="C564" s="166">
        <f>Spieltag!A551</f>
        <v>27</v>
      </c>
      <c r="D564" s="21" t="str">
        <f>Spieltag!B551</f>
        <v>Tim Skarke</v>
      </c>
      <c r="E564" s="12" t="str">
        <f>Spieltag!C551</f>
        <v>Sturm</v>
      </c>
      <c r="F564" s="13" t="s">
        <v>619</v>
      </c>
      <c r="G564" s="14"/>
      <c r="H564" s="15">
        <f>IF(G564="x",10,0)</f>
        <v>0</v>
      </c>
      <c r="I564" s="14"/>
      <c r="J564" s="15">
        <f>IF((I564="x"),-10,0)</f>
        <v>0</v>
      </c>
      <c r="K564" s="14"/>
      <c r="L564" s="15">
        <f>IF((K564="x"),-20,0)</f>
        <v>0</v>
      </c>
      <c r="M564" s="14"/>
      <c r="N564" s="15">
        <f>IF((M564="x"),-30,0)</f>
        <v>0</v>
      </c>
      <c r="O564" s="16">
        <f t="shared" si="1699"/>
        <v>0</v>
      </c>
      <c r="P564" s="16">
        <f t="shared" si="1700"/>
        <v>-5</v>
      </c>
      <c r="Q564" s="16">
        <f t="shared" si="1701"/>
        <v>-40</v>
      </c>
      <c r="R564" s="14"/>
      <c r="S564" s="15">
        <f>R564*10</f>
        <v>0</v>
      </c>
      <c r="T564" s="14"/>
      <c r="U564" s="15">
        <f>T564*-15</f>
        <v>0</v>
      </c>
      <c r="V564" s="16">
        <f>IF(AND(R564=2),10,IF(R564=3,30,IF(R564=4,50,IF(R564=5,70,0))))</f>
        <v>0</v>
      </c>
      <c r="W564" s="17">
        <f>IF(G564="x",H564+J564+L564+N564+O564+P564+Q564+S564+U564+V564,0)</f>
        <v>0</v>
      </c>
    </row>
    <row r="565" spans="1:23" ht="10.5" hidden="1" customHeight="1" x14ac:dyDescent="0.2">
      <c r="A565" s="11"/>
      <c r="B565" s="149">
        <f>COUNTA(Spieltag!K552:AA552)</f>
        <v>0</v>
      </c>
      <c r="C565" s="166">
        <f>Spieltag!A552</f>
        <v>29</v>
      </c>
      <c r="D565" s="21" t="str">
        <f>Spieltag!B552</f>
        <v>Oscar Vilhelmsson (A)</v>
      </c>
      <c r="E565" s="12" t="str">
        <f>Spieltag!C552</f>
        <v>Sturm</v>
      </c>
      <c r="F565" s="13" t="s">
        <v>619</v>
      </c>
      <c r="G565" s="14"/>
      <c r="H565" s="15">
        <f t="shared" si="1706"/>
        <v>0</v>
      </c>
      <c r="I565" s="14"/>
      <c r="J565" s="15">
        <f t="shared" si="1707"/>
        <v>0</v>
      </c>
      <c r="K565" s="14"/>
      <c r="L565" s="15">
        <f t="shared" si="1708"/>
        <v>0</v>
      </c>
      <c r="M565" s="14"/>
      <c r="N565" s="15">
        <f t="shared" si="1709"/>
        <v>0</v>
      </c>
      <c r="O565" s="16">
        <f t="shared" si="1699"/>
        <v>0</v>
      </c>
      <c r="P565" s="16">
        <f t="shared" si="1700"/>
        <v>-5</v>
      </c>
      <c r="Q565" s="16">
        <f t="shared" si="1701"/>
        <v>-40</v>
      </c>
      <c r="R565" s="14"/>
      <c r="S565" s="15">
        <f t="shared" si="1710"/>
        <v>0</v>
      </c>
      <c r="T565" s="14"/>
      <c r="U565" s="15">
        <f t="shared" si="1711"/>
        <v>0</v>
      </c>
      <c r="V565" s="16">
        <f t="shared" si="1712"/>
        <v>0</v>
      </c>
      <c r="W565" s="17">
        <f t="shared" si="1713"/>
        <v>0</v>
      </c>
    </row>
    <row r="566" spans="1:23" ht="10.5" hidden="1" customHeight="1" x14ac:dyDescent="0.2">
      <c r="A566" s="11"/>
      <c r="B566" s="149">
        <f>COUNTA(Spieltag!K553:AA553)</f>
        <v>0</v>
      </c>
      <c r="C566" s="166">
        <f>Spieltag!A553</f>
        <v>40</v>
      </c>
      <c r="D566" s="21" t="str">
        <f>Spieltag!B553</f>
        <v>Sebastian Polter</v>
      </c>
      <c r="E566" s="12" t="str">
        <f>Spieltag!C553</f>
        <v>Sturm</v>
      </c>
      <c r="F566" s="13" t="s">
        <v>619</v>
      </c>
      <c r="G566" s="14"/>
      <c r="H566" s="15">
        <f t="shared" si="1706"/>
        <v>0</v>
      </c>
      <c r="I566" s="14"/>
      <c r="J566" s="15">
        <f t="shared" si="1707"/>
        <v>0</v>
      </c>
      <c r="K566" s="14"/>
      <c r="L566" s="15">
        <f t="shared" si="1708"/>
        <v>0</v>
      </c>
      <c r="M566" s="14"/>
      <c r="N566" s="15">
        <f t="shared" si="1709"/>
        <v>0</v>
      </c>
      <c r="O566" s="16">
        <f t="shared" si="1699"/>
        <v>0</v>
      </c>
      <c r="P566" s="16">
        <f t="shared" si="1700"/>
        <v>-5</v>
      </c>
      <c r="Q566" s="16">
        <f t="shared" si="1701"/>
        <v>-40</v>
      </c>
      <c r="R566" s="14"/>
      <c r="S566" s="15">
        <f t="shared" si="1710"/>
        <v>0</v>
      </c>
      <c r="T566" s="14"/>
      <c r="U566" s="15">
        <f t="shared" si="1711"/>
        <v>0</v>
      </c>
      <c r="V566" s="16">
        <f t="shared" si="1712"/>
        <v>0</v>
      </c>
      <c r="W566" s="17">
        <f t="shared" si="1713"/>
        <v>0</v>
      </c>
    </row>
    <row r="567" spans="1:23" ht="10.5" hidden="1" customHeight="1" x14ac:dyDescent="0.2">
      <c r="A567" s="11"/>
      <c r="B567" s="149">
        <f>COUNTA(Spieltag!K554:AA554)</f>
        <v>0</v>
      </c>
      <c r="C567" s="166">
        <f>Spieltag!A554</f>
        <v>42</v>
      </c>
      <c r="D567" s="21" t="str">
        <f>Spieltag!B554</f>
        <v>Fabio Torsiello</v>
      </c>
      <c r="E567" s="12" t="str">
        <f>Spieltag!C554</f>
        <v>Sturm</v>
      </c>
      <c r="F567" s="13" t="s">
        <v>619</v>
      </c>
      <c r="G567" s="14"/>
      <c r="H567" s="15">
        <f t="shared" ref="H567" si="1714">IF(G567="x",10,0)</f>
        <v>0</v>
      </c>
      <c r="I567" s="14"/>
      <c r="J567" s="15">
        <f t="shared" ref="J567" si="1715">IF((I567="x"),-10,0)</f>
        <v>0</v>
      </c>
      <c r="K567" s="14"/>
      <c r="L567" s="15">
        <f t="shared" ref="L567" si="1716">IF((K567="x"),-20,0)</f>
        <v>0</v>
      </c>
      <c r="M567" s="14"/>
      <c r="N567" s="15">
        <f t="shared" ref="N567" si="1717">IF((M567="x"),-30,0)</f>
        <v>0</v>
      </c>
      <c r="O567" s="16">
        <f t="shared" si="1699"/>
        <v>0</v>
      </c>
      <c r="P567" s="16">
        <f t="shared" si="1700"/>
        <v>-5</v>
      </c>
      <c r="Q567" s="16">
        <f t="shared" si="1701"/>
        <v>-40</v>
      </c>
      <c r="R567" s="14"/>
      <c r="S567" s="15">
        <f t="shared" ref="S567" si="1718">R567*10</f>
        <v>0</v>
      </c>
      <c r="T567" s="14"/>
      <c r="U567" s="15">
        <f t="shared" ref="U567" si="1719">T567*-15</f>
        <v>0</v>
      </c>
      <c r="V567" s="16">
        <f t="shared" ref="V567" si="1720">IF(AND(R567=2),10,IF(R567=3,30,IF(R567=4,50,IF(R567=5,70,0))))</f>
        <v>0</v>
      </c>
      <c r="W567" s="17">
        <f t="shared" ref="W567" si="1721">IF(G567="x",H567+J567+L567+N567+O567+P567+Q567+S567+U567+V567,0)</f>
        <v>0</v>
      </c>
    </row>
    <row r="568" spans="1:23" ht="10.5" hidden="1" customHeight="1" x14ac:dyDescent="0.2"/>
    <row r="569" spans="1:23" ht="10.5" hidden="1" customHeight="1" x14ac:dyDescent="0.2"/>
    <row r="570" spans="1:23" ht="10.5" hidden="1" customHeight="1" x14ac:dyDescent="0.2"/>
    <row r="571" spans="1:23" ht="10.5" hidden="1" customHeight="1" x14ac:dyDescent="0.2"/>
    <row r="572" spans="1:23" ht="10.5" hidden="1" customHeight="1" x14ac:dyDescent="0.2"/>
    <row r="573" spans="1:23" ht="10.5" hidden="1" customHeight="1" x14ac:dyDescent="0.2"/>
    <row r="574" spans="1:23" ht="10.5" hidden="1" customHeight="1" x14ac:dyDescent="0.2"/>
    <row r="575" spans="1:23" ht="10.5" hidden="1" customHeight="1" x14ac:dyDescent="0.2"/>
    <row r="576" spans="1:23" ht="10.5" hidden="1" customHeight="1" x14ac:dyDescent="0.2"/>
    <row r="577" ht="10.5" hidden="1" customHeight="1" x14ac:dyDescent="0.2"/>
    <row r="578" ht="10.5" hidden="1" customHeight="1" x14ac:dyDescent="0.2"/>
    <row r="579" ht="10.5" hidden="1" customHeight="1" x14ac:dyDescent="0.2"/>
    <row r="580" ht="10.5" hidden="1" customHeight="1" x14ac:dyDescent="0.2"/>
    <row r="581" ht="10.5" hidden="1" customHeight="1" x14ac:dyDescent="0.2"/>
    <row r="582" ht="10.5" hidden="1" customHeight="1" x14ac:dyDescent="0.2"/>
    <row r="583" ht="10.5" hidden="1" customHeight="1" x14ac:dyDescent="0.2"/>
    <row r="584" ht="10.5" hidden="1" customHeight="1" x14ac:dyDescent="0.2"/>
    <row r="585" ht="10.5" hidden="1" customHeight="1" x14ac:dyDescent="0.2"/>
    <row r="586" ht="10.5" hidden="1" customHeight="1" x14ac:dyDescent="0.2"/>
    <row r="587" ht="10.5" hidden="1" customHeight="1" x14ac:dyDescent="0.2"/>
    <row r="588" ht="10.5" hidden="1" customHeight="1" x14ac:dyDescent="0.2"/>
    <row r="589" ht="10.5" hidden="1" customHeight="1" x14ac:dyDescent="0.2"/>
    <row r="590" ht="10.5" hidden="1" customHeight="1" x14ac:dyDescent="0.2"/>
    <row r="591" ht="10.5" hidden="1" customHeight="1" x14ac:dyDescent="0.2"/>
    <row r="592" ht="10.5" hidden="1" customHeight="1" x14ac:dyDescent="0.2"/>
    <row r="593" ht="10.5" hidden="1" customHeight="1" x14ac:dyDescent="0.2"/>
    <row r="594" ht="10.5" hidden="1" customHeight="1" x14ac:dyDescent="0.2"/>
    <row r="595" ht="10.5" hidden="1" customHeight="1" x14ac:dyDescent="0.2"/>
    <row r="596" ht="10.5" hidden="1" customHeight="1" x14ac:dyDescent="0.2"/>
    <row r="597" ht="10.5" hidden="1" customHeight="1" x14ac:dyDescent="0.2"/>
    <row r="598" ht="10.5" hidden="1" customHeight="1" x14ac:dyDescent="0.2"/>
    <row r="599" ht="10.5" hidden="1" customHeight="1" x14ac:dyDescent="0.2"/>
    <row r="600" ht="10.5" hidden="1" customHeight="1" x14ac:dyDescent="0.2"/>
    <row r="601" ht="10.5" hidden="1" customHeight="1" x14ac:dyDescent="0.2"/>
    <row r="602" ht="10.5" hidden="1" customHeight="1" x14ac:dyDescent="0.2"/>
    <row r="603" ht="10.5" hidden="1" customHeight="1" x14ac:dyDescent="0.2"/>
    <row r="604" ht="10.5" hidden="1" customHeight="1" x14ac:dyDescent="0.2"/>
    <row r="605" ht="10.5" hidden="1" customHeight="1" x14ac:dyDescent="0.2"/>
    <row r="606" ht="10.5" hidden="1" customHeight="1" x14ac:dyDescent="0.2"/>
    <row r="607" ht="10.5" hidden="1" customHeight="1" x14ac:dyDescent="0.2"/>
    <row r="608" ht="10.5" hidden="1" customHeight="1" x14ac:dyDescent="0.2"/>
    <row r="609" ht="10.5" hidden="1" customHeight="1" x14ac:dyDescent="0.2"/>
    <row r="610" ht="10.5" hidden="1" customHeight="1" x14ac:dyDescent="0.2"/>
    <row r="611" ht="10.5" hidden="1" customHeight="1" x14ac:dyDescent="0.2"/>
    <row r="612" ht="10.5" hidden="1" customHeight="1" x14ac:dyDescent="0.2"/>
    <row r="613" ht="10.5" hidden="1" customHeight="1" x14ac:dyDescent="0.2"/>
    <row r="614" ht="10.5" hidden="1" customHeight="1" x14ac:dyDescent="0.2"/>
    <row r="615" ht="10.5" hidden="1" customHeight="1" x14ac:dyDescent="0.2"/>
    <row r="616" ht="10.5" hidden="1" customHeight="1" x14ac:dyDescent="0.2"/>
    <row r="617" ht="10.5" hidden="1" customHeight="1" x14ac:dyDescent="0.2"/>
    <row r="618" ht="10.5" hidden="1" customHeight="1" x14ac:dyDescent="0.2"/>
    <row r="619" ht="10.5" hidden="1" customHeight="1" x14ac:dyDescent="0.2"/>
    <row r="620" ht="10.5" hidden="1" customHeight="1" x14ac:dyDescent="0.2"/>
    <row r="621" ht="10.5" hidden="1" customHeight="1" x14ac:dyDescent="0.2"/>
    <row r="622" ht="10.5" hidden="1" customHeight="1" x14ac:dyDescent="0.2"/>
    <row r="623" ht="10.5" hidden="1" customHeight="1" x14ac:dyDescent="0.2"/>
    <row r="624" ht="10.5" hidden="1" customHeight="1" x14ac:dyDescent="0.2"/>
    <row r="625" ht="10.5" hidden="1" customHeight="1" x14ac:dyDescent="0.2"/>
    <row r="626" ht="10.5" hidden="1" customHeight="1" x14ac:dyDescent="0.2"/>
    <row r="627" ht="10.5" hidden="1" customHeight="1" x14ac:dyDescent="0.2"/>
    <row r="628" ht="10.5" hidden="1" customHeight="1" x14ac:dyDescent="0.2"/>
    <row r="629" ht="10.5" hidden="1" customHeight="1" x14ac:dyDescent="0.2"/>
    <row r="630" ht="10.5" hidden="1" customHeight="1" x14ac:dyDescent="0.2"/>
    <row r="631" ht="10.5" hidden="1" customHeight="1" x14ac:dyDescent="0.2"/>
    <row r="632" ht="10.5" hidden="1" customHeight="1" x14ac:dyDescent="0.2"/>
    <row r="633" ht="10.5" hidden="1" customHeight="1" x14ac:dyDescent="0.2"/>
    <row r="634" ht="10.5" hidden="1" customHeight="1" x14ac:dyDescent="0.2"/>
    <row r="635" ht="10.5" hidden="1" customHeight="1" x14ac:dyDescent="0.2"/>
    <row r="636" ht="10.5" hidden="1" customHeight="1" x14ac:dyDescent="0.2"/>
    <row r="637" ht="10.5" hidden="1" customHeight="1" x14ac:dyDescent="0.2"/>
    <row r="638" ht="10.5" hidden="1" customHeight="1" x14ac:dyDescent="0.2"/>
    <row r="639" ht="10.5" hidden="1" customHeight="1" x14ac:dyDescent="0.2"/>
    <row r="640" ht="10.5" hidden="1" customHeight="1" x14ac:dyDescent="0.2"/>
    <row r="641" ht="10.5" hidden="1" customHeight="1" x14ac:dyDescent="0.2"/>
    <row r="642" ht="10.5" hidden="1" customHeight="1" x14ac:dyDescent="0.2"/>
    <row r="643" ht="10.5" hidden="1" customHeight="1" x14ac:dyDescent="0.2"/>
    <row r="644" ht="10.5" hidden="1" customHeight="1" x14ac:dyDescent="0.2"/>
    <row r="645" ht="10.5" hidden="1" customHeight="1" x14ac:dyDescent="0.2"/>
    <row r="646" ht="10.5" hidden="1" customHeight="1" x14ac:dyDescent="0.2"/>
    <row r="647" ht="10.5" hidden="1" customHeight="1" x14ac:dyDescent="0.2"/>
    <row r="648" ht="10.5" hidden="1" customHeight="1" x14ac:dyDescent="0.2"/>
    <row r="649" ht="10.5" hidden="1" customHeight="1" x14ac:dyDescent="0.2"/>
    <row r="650" ht="10.5" hidden="1" customHeight="1" x14ac:dyDescent="0.2"/>
    <row r="651" ht="10.5" hidden="1" customHeight="1" x14ac:dyDescent="0.2"/>
    <row r="652" ht="10.5" hidden="1" customHeight="1" x14ac:dyDescent="0.2"/>
    <row r="653" ht="10.5" hidden="1" customHeight="1" x14ac:dyDescent="0.2"/>
    <row r="654" ht="10.5" hidden="1" customHeight="1" x14ac:dyDescent="0.2"/>
    <row r="655" ht="10.5" hidden="1" customHeight="1" x14ac:dyDescent="0.2"/>
    <row r="656" ht="10.5" hidden="1" customHeight="1" x14ac:dyDescent="0.2"/>
    <row r="657" ht="10.5" hidden="1" customHeight="1" x14ac:dyDescent="0.2"/>
    <row r="658" ht="10.5" hidden="1" customHeight="1" x14ac:dyDescent="0.2"/>
    <row r="659" ht="10.5" hidden="1" customHeight="1" x14ac:dyDescent="0.2"/>
    <row r="660" ht="10.5" hidden="1" customHeight="1" x14ac:dyDescent="0.2"/>
    <row r="661" ht="10.5" hidden="1" customHeight="1" x14ac:dyDescent="0.2"/>
    <row r="662" ht="10.5" hidden="1" customHeight="1" x14ac:dyDescent="0.2"/>
    <row r="663" ht="10.5" hidden="1" customHeight="1" x14ac:dyDescent="0.2"/>
    <row r="664" ht="10.5" hidden="1" customHeight="1" x14ac:dyDescent="0.2"/>
    <row r="665" ht="10.5" hidden="1" customHeight="1" x14ac:dyDescent="0.2"/>
    <row r="666" ht="10.5" hidden="1" customHeight="1" x14ac:dyDescent="0.2"/>
    <row r="667" ht="10.5" hidden="1" customHeight="1" x14ac:dyDescent="0.2"/>
    <row r="668" ht="10.5" hidden="1" customHeight="1" x14ac:dyDescent="0.2"/>
    <row r="669" ht="10.5" hidden="1" customHeight="1" x14ac:dyDescent="0.2"/>
    <row r="670" ht="10.5" hidden="1" customHeight="1" x14ac:dyDescent="0.2"/>
    <row r="671" ht="10.5" hidden="1" customHeight="1" x14ac:dyDescent="0.2"/>
    <row r="672" ht="10.5" hidden="1" customHeight="1" x14ac:dyDescent="0.2"/>
    <row r="673" ht="10.5" hidden="1" customHeight="1" x14ac:dyDescent="0.2"/>
    <row r="674" ht="10.5" hidden="1" customHeight="1" x14ac:dyDescent="0.2"/>
    <row r="675" ht="10.5" hidden="1" customHeight="1" x14ac:dyDescent="0.2"/>
    <row r="676" ht="10.5" hidden="1" customHeight="1" x14ac:dyDescent="0.2"/>
    <row r="677" ht="10.5" hidden="1" customHeight="1" x14ac:dyDescent="0.2"/>
    <row r="678" ht="10.5" hidden="1" customHeight="1" x14ac:dyDescent="0.2"/>
    <row r="679" ht="10.5" hidden="1" customHeight="1" x14ac:dyDescent="0.2"/>
    <row r="680" ht="10.5" hidden="1" customHeight="1" x14ac:dyDescent="0.2"/>
    <row r="681" ht="10.5" hidden="1" customHeight="1" x14ac:dyDescent="0.2"/>
    <row r="682" ht="10.5" hidden="1" customHeight="1" x14ac:dyDescent="0.2"/>
    <row r="683" ht="10.5" hidden="1" customHeight="1" x14ac:dyDescent="0.2"/>
    <row r="684" ht="10.5" hidden="1" customHeight="1" x14ac:dyDescent="0.2"/>
    <row r="685" ht="10.5" hidden="1" customHeight="1" x14ac:dyDescent="0.2"/>
    <row r="686" ht="10.5" hidden="1" customHeight="1" x14ac:dyDescent="0.2"/>
    <row r="687" ht="10.5" hidden="1" customHeight="1" x14ac:dyDescent="0.2"/>
    <row r="688" ht="10.5" hidden="1" customHeight="1" x14ac:dyDescent="0.2"/>
    <row r="689" ht="10.5" hidden="1" customHeight="1" x14ac:dyDescent="0.2"/>
    <row r="690" ht="10.5" hidden="1" customHeight="1" x14ac:dyDescent="0.2"/>
    <row r="691" ht="10.5" hidden="1" customHeight="1" x14ac:dyDescent="0.2"/>
    <row r="692" ht="10.5" hidden="1" customHeight="1" x14ac:dyDescent="0.2"/>
    <row r="693" ht="10.5" hidden="1" customHeight="1" x14ac:dyDescent="0.2"/>
    <row r="694" ht="10.5" hidden="1" customHeight="1" x14ac:dyDescent="0.2"/>
    <row r="695" ht="10.5" hidden="1" customHeight="1" x14ac:dyDescent="0.2"/>
    <row r="696" ht="10.5" hidden="1" customHeight="1" x14ac:dyDescent="0.2"/>
    <row r="697" ht="10.5" hidden="1" customHeight="1" x14ac:dyDescent="0.2"/>
    <row r="698" ht="10.5" hidden="1" customHeight="1" x14ac:dyDescent="0.2"/>
    <row r="699" ht="10.5" hidden="1" customHeight="1" x14ac:dyDescent="0.2"/>
    <row r="700" ht="10.5" hidden="1" customHeight="1" x14ac:dyDescent="0.2"/>
    <row r="701" ht="10.5" hidden="1" customHeight="1" x14ac:dyDescent="0.2"/>
    <row r="702" ht="10.5" hidden="1" customHeight="1" x14ac:dyDescent="0.2"/>
    <row r="703" ht="10.5" hidden="1" customHeight="1" x14ac:dyDescent="0.2"/>
    <row r="704" ht="10.5" hidden="1" customHeight="1" x14ac:dyDescent="0.2"/>
    <row r="705" spans="1:22" ht="10.5" hidden="1" customHeight="1" x14ac:dyDescent="0.2"/>
    <row r="706" spans="1:22" ht="10.5" hidden="1" customHeight="1" x14ac:dyDescent="0.2"/>
    <row r="707" spans="1:22" ht="10.5" hidden="1" customHeight="1" x14ac:dyDescent="0.2"/>
    <row r="708" spans="1:22" ht="10.5" hidden="1" customHeight="1" x14ac:dyDescent="0.2"/>
    <row r="709" spans="1:22" s="147" customFormat="1" ht="10.5" hidden="1" customHeight="1" x14ac:dyDescent="0.2">
      <c r="A709" s="145"/>
      <c r="B709" s="145"/>
      <c r="C709" s="145"/>
      <c r="D709" s="146"/>
      <c r="H709" s="148"/>
      <c r="I709" s="148"/>
      <c r="J709" s="148"/>
      <c r="K709" s="148"/>
      <c r="L709" s="148"/>
      <c r="M709" s="148"/>
      <c r="N709" s="148"/>
      <c r="O709" s="148"/>
      <c r="P709" s="148"/>
      <c r="Q709" s="148"/>
      <c r="R709" s="148"/>
      <c r="S709" s="148"/>
      <c r="T709" s="148"/>
      <c r="U709" s="148"/>
      <c r="V709" s="148"/>
    </row>
    <row r="710" spans="1:22" s="147" customFormat="1" ht="10.5" hidden="1" customHeight="1" x14ac:dyDescent="0.2">
      <c r="A710" s="145"/>
      <c r="B710" s="145"/>
      <c r="C710" s="145"/>
      <c r="D710" s="146"/>
      <c r="H710" s="148"/>
      <c r="I710" s="148"/>
      <c r="J710" s="148"/>
      <c r="K710" s="148"/>
      <c r="L710" s="148"/>
      <c r="M710" s="148"/>
      <c r="N710" s="148"/>
      <c r="O710" s="148"/>
      <c r="P710" s="148"/>
      <c r="Q710" s="148"/>
      <c r="R710" s="148"/>
      <c r="S710" s="148"/>
      <c r="T710" s="148"/>
      <c r="U710" s="148"/>
      <c r="V710" s="148"/>
    </row>
    <row r="711" spans="1:22" s="147" customFormat="1" ht="10.5" hidden="1" customHeight="1" x14ac:dyDescent="0.2">
      <c r="A711" s="145"/>
      <c r="B711" s="145"/>
      <c r="C711" s="145"/>
      <c r="D711" s="146"/>
      <c r="H711" s="148"/>
      <c r="I711" s="148"/>
      <c r="J711" s="148"/>
      <c r="K711" s="148"/>
      <c r="L711" s="148"/>
      <c r="M711" s="148"/>
      <c r="N711" s="148"/>
      <c r="O711" s="148"/>
      <c r="P711" s="148"/>
      <c r="Q711" s="148"/>
      <c r="R711" s="148"/>
      <c r="S711" s="148"/>
      <c r="T711" s="148"/>
      <c r="U711" s="148"/>
      <c r="V711" s="148"/>
    </row>
    <row r="712" spans="1:22" s="147" customFormat="1" ht="10.5" hidden="1" customHeight="1" x14ac:dyDescent="0.2">
      <c r="A712" s="145"/>
      <c r="B712" s="145"/>
      <c r="C712" s="145"/>
      <c r="D712" s="146"/>
      <c r="H712" s="148"/>
      <c r="I712" s="148"/>
      <c r="J712" s="148"/>
      <c r="K712" s="148"/>
      <c r="L712" s="148"/>
      <c r="M712" s="148"/>
      <c r="N712" s="148"/>
      <c r="O712" s="148"/>
      <c r="P712" s="148"/>
      <c r="Q712" s="148"/>
      <c r="R712" s="148"/>
      <c r="S712" s="148"/>
      <c r="T712" s="148"/>
      <c r="U712" s="148"/>
      <c r="V712" s="148"/>
    </row>
    <row r="713" spans="1:22" s="147" customFormat="1" ht="10.5" hidden="1" customHeight="1" x14ac:dyDescent="0.2">
      <c r="A713" s="145"/>
      <c r="B713" s="145"/>
      <c r="C713" s="145"/>
      <c r="D713" s="146"/>
      <c r="H713" s="148"/>
      <c r="I713" s="148"/>
      <c r="J713" s="148"/>
      <c r="K713" s="148"/>
      <c r="L713" s="148"/>
      <c r="M713" s="148"/>
      <c r="N713" s="148"/>
      <c r="O713" s="148"/>
      <c r="P713" s="148"/>
      <c r="Q713" s="148"/>
      <c r="R713" s="148"/>
      <c r="S713" s="148"/>
      <c r="T713" s="148"/>
      <c r="U713" s="148"/>
      <c r="V713" s="148"/>
    </row>
    <row r="714" spans="1:22" s="147" customFormat="1" ht="10.5" hidden="1" customHeight="1" x14ac:dyDescent="0.2">
      <c r="A714" s="145"/>
      <c r="B714" s="145"/>
      <c r="C714" s="145"/>
      <c r="D714" s="146"/>
      <c r="H714" s="148"/>
      <c r="I714" s="148"/>
      <c r="J714" s="148"/>
      <c r="K714" s="148"/>
      <c r="L714" s="148"/>
      <c r="M714" s="148"/>
      <c r="N714" s="148"/>
      <c r="O714" s="148"/>
      <c r="P714" s="148"/>
      <c r="Q714" s="148"/>
      <c r="R714" s="148"/>
      <c r="S714" s="148"/>
      <c r="T714" s="148"/>
      <c r="U714" s="148"/>
      <c r="V714" s="148"/>
    </row>
    <row r="715" spans="1:22" s="147" customFormat="1" ht="10.5" hidden="1" customHeight="1" x14ac:dyDescent="0.2">
      <c r="A715" s="145"/>
      <c r="B715" s="145"/>
      <c r="C715" s="145"/>
      <c r="D715" s="146"/>
      <c r="H715" s="148"/>
      <c r="I715" s="148"/>
      <c r="J715" s="148"/>
      <c r="K715" s="148"/>
      <c r="L715" s="148"/>
      <c r="M715" s="148"/>
      <c r="N715" s="148"/>
      <c r="O715" s="148"/>
      <c r="P715" s="148"/>
      <c r="Q715" s="148"/>
      <c r="R715" s="148"/>
      <c r="S715" s="148"/>
      <c r="T715" s="148"/>
      <c r="U715" s="148"/>
      <c r="V715" s="148"/>
    </row>
    <row r="716" spans="1:22" s="147" customFormat="1" ht="10.5" hidden="1" customHeight="1" x14ac:dyDescent="0.2">
      <c r="A716" s="145"/>
      <c r="B716" s="145"/>
      <c r="C716" s="145"/>
      <c r="D716" s="146"/>
      <c r="H716" s="148"/>
      <c r="I716" s="148"/>
      <c r="J716" s="148"/>
      <c r="K716" s="148"/>
      <c r="L716" s="148"/>
      <c r="M716" s="148"/>
      <c r="N716" s="148"/>
      <c r="O716" s="148"/>
      <c r="P716" s="148"/>
      <c r="Q716" s="148"/>
      <c r="R716" s="148"/>
      <c r="S716" s="148"/>
      <c r="T716" s="148"/>
      <c r="U716" s="148"/>
      <c r="V716" s="148"/>
    </row>
    <row r="717" spans="1:22" s="147" customFormat="1" ht="10.5" hidden="1" customHeight="1" x14ac:dyDescent="0.2">
      <c r="A717" s="145"/>
      <c r="B717" s="145"/>
      <c r="C717" s="145"/>
      <c r="D717" s="146"/>
      <c r="H717" s="148"/>
      <c r="I717" s="148"/>
      <c r="J717" s="148"/>
      <c r="K717" s="148"/>
      <c r="L717" s="148"/>
      <c r="M717" s="148"/>
      <c r="N717" s="148"/>
      <c r="O717" s="148"/>
      <c r="P717" s="148"/>
      <c r="Q717" s="148"/>
      <c r="R717" s="148"/>
      <c r="S717" s="148"/>
      <c r="T717" s="148"/>
      <c r="U717" s="148"/>
      <c r="V717" s="148"/>
    </row>
    <row r="718" spans="1:22" s="147" customFormat="1" ht="10.5" hidden="1" customHeight="1" x14ac:dyDescent="0.2">
      <c r="A718" s="145"/>
      <c r="B718" s="145"/>
      <c r="C718" s="145"/>
      <c r="D718" s="146"/>
      <c r="H718" s="148"/>
      <c r="I718" s="148"/>
      <c r="J718" s="148"/>
      <c r="K718" s="148"/>
      <c r="L718" s="148"/>
      <c r="M718" s="148"/>
      <c r="N718" s="148"/>
      <c r="O718" s="148"/>
      <c r="P718" s="148"/>
      <c r="Q718" s="148"/>
      <c r="R718" s="148"/>
      <c r="S718" s="148"/>
      <c r="T718" s="148"/>
      <c r="U718" s="148"/>
      <c r="V718" s="148"/>
    </row>
    <row r="719" spans="1:22" s="147" customFormat="1" ht="10.5" hidden="1" customHeight="1" x14ac:dyDescent="0.2">
      <c r="A719" s="145"/>
      <c r="B719" s="145"/>
      <c r="C719" s="145"/>
      <c r="D719" s="146"/>
      <c r="H719" s="148"/>
      <c r="I719" s="148"/>
      <c r="J719" s="148"/>
      <c r="K719" s="148"/>
      <c r="L719" s="148"/>
      <c r="M719" s="148"/>
      <c r="N719" s="148"/>
      <c r="O719" s="148"/>
      <c r="P719" s="148"/>
      <c r="Q719" s="148"/>
      <c r="R719" s="148"/>
      <c r="S719" s="148"/>
      <c r="T719" s="148"/>
      <c r="U719" s="148"/>
      <c r="V719" s="148"/>
    </row>
    <row r="720" spans="1:22" s="147" customFormat="1" ht="10.5" hidden="1" customHeight="1" x14ac:dyDescent="0.2">
      <c r="A720" s="145"/>
      <c r="B720" s="145"/>
      <c r="C720" s="145"/>
      <c r="D720" s="146"/>
      <c r="H720" s="148"/>
      <c r="I720" s="148"/>
      <c r="J720" s="148"/>
      <c r="K720" s="148"/>
      <c r="L720" s="148"/>
      <c r="M720" s="148"/>
      <c r="N720" s="148"/>
      <c r="O720" s="148"/>
      <c r="P720" s="148"/>
      <c r="Q720" s="148"/>
      <c r="R720" s="148"/>
      <c r="S720" s="148"/>
      <c r="T720" s="148"/>
      <c r="U720" s="148"/>
      <c r="V720" s="148"/>
    </row>
    <row r="721" spans="1:22" s="147" customFormat="1" ht="10.5" hidden="1" customHeight="1" x14ac:dyDescent="0.2">
      <c r="A721" s="145"/>
      <c r="B721" s="145"/>
      <c r="C721" s="145"/>
      <c r="D721" s="146"/>
      <c r="H721" s="148"/>
      <c r="I721" s="148"/>
      <c r="J721" s="148"/>
      <c r="K721" s="148"/>
      <c r="L721" s="148"/>
      <c r="M721" s="148"/>
      <c r="N721" s="148"/>
      <c r="O721" s="148"/>
      <c r="P721" s="148"/>
      <c r="Q721" s="148"/>
      <c r="R721" s="148"/>
      <c r="S721" s="148"/>
      <c r="T721" s="148"/>
      <c r="U721" s="148"/>
      <c r="V721" s="148"/>
    </row>
    <row r="722" spans="1:22" s="147" customFormat="1" ht="10.5" hidden="1" customHeight="1" x14ac:dyDescent="0.2">
      <c r="A722" s="145"/>
      <c r="B722" s="145"/>
      <c r="C722" s="145"/>
      <c r="D722" s="146"/>
      <c r="H722" s="148"/>
      <c r="I722" s="148"/>
      <c r="J722" s="148"/>
      <c r="K722" s="148"/>
      <c r="L722" s="148"/>
      <c r="M722" s="148"/>
      <c r="N722" s="148"/>
      <c r="O722" s="148"/>
      <c r="P722" s="148"/>
      <c r="Q722" s="148"/>
      <c r="R722" s="148"/>
      <c r="S722" s="148"/>
      <c r="T722" s="148"/>
      <c r="U722" s="148"/>
      <c r="V722" s="148"/>
    </row>
    <row r="723" spans="1:22" s="147" customFormat="1" ht="10.5" hidden="1" customHeight="1" x14ac:dyDescent="0.2">
      <c r="A723" s="145"/>
      <c r="B723" s="145"/>
      <c r="C723" s="145"/>
      <c r="D723" s="146"/>
      <c r="H723" s="148"/>
      <c r="I723" s="148"/>
      <c r="J723" s="148"/>
      <c r="K723" s="148"/>
      <c r="L723" s="148"/>
      <c r="M723" s="148"/>
      <c r="N723" s="148"/>
      <c r="O723" s="148"/>
      <c r="P723" s="148"/>
      <c r="Q723" s="148"/>
      <c r="R723" s="148"/>
      <c r="S723" s="148"/>
      <c r="T723" s="148"/>
      <c r="U723" s="148"/>
      <c r="V723" s="148"/>
    </row>
    <row r="724" spans="1:22" s="147" customFormat="1" ht="10.5" hidden="1" customHeight="1" x14ac:dyDescent="0.2">
      <c r="A724" s="145"/>
      <c r="B724" s="145"/>
      <c r="C724" s="145"/>
      <c r="D724" s="146"/>
      <c r="H724" s="148"/>
      <c r="I724" s="148"/>
      <c r="J724" s="148"/>
      <c r="K724" s="148"/>
      <c r="L724" s="148"/>
      <c r="M724" s="148"/>
      <c r="N724" s="148"/>
      <c r="O724" s="148"/>
      <c r="P724" s="148"/>
      <c r="Q724" s="148"/>
      <c r="R724" s="148"/>
      <c r="S724" s="148"/>
      <c r="T724" s="148"/>
      <c r="U724" s="148"/>
      <c r="V724" s="148"/>
    </row>
    <row r="725" spans="1:22" s="147" customFormat="1" ht="10.5" hidden="1" customHeight="1" x14ac:dyDescent="0.2">
      <c r="A725" s="145"/>
      <c r="B725" s="145"/>
      <c r="C725" s="145"/>
      <c r="D725" s="146"/>
      <c r="H725" s="148"/>
      <c r="I725" s="148"/>
      <c r="J725" s="148"/>
      <c r="K725" s="148"/>
      <c r="L725" s="148"/>
      <c r="M725" s="148"/>
      <c r="N725" s="148"/>
      <c r="O725" s="148"/>
      <c r="P725" s="148"/>
      <c r="Q725" s="148"/>
      <c r="R725" s="148"/>
      <c r="S725" s="148"/>
      <c r="T725" s="148"/>
      <c r="U725" s="148"/>
      <c r="V725" s="148"/>
    </row>
    <row r="726" spans="1:22" s="147" customFormat="1" ht="10.5" hidden="1" customHeight="1" x14ac:dyDescent="0.2">
      <c r="A726" s="145"/>
      <c r="B726" s="145"/>
      <c r="C726" s="145"/>
      <c r="D726" s="146"/>
      <c r="H726" s="148"/>
      <c r="I726" s="148"/>
      <c r="J726" s="148"/>
      <c r="K726" s="148"/>
      <c r="L726" s="148"/>
      <c r="M726" s="148"/>
      <c r="N726" s="148"/>
      <c r="O726" s="148"/>
      <c r="P726" s="148"/>
      <c r="Q726" s="148"/>
      <c r="R726" s="148"/>
      <c r="S726" s="148"/>
      <c r="T726" s="148"/>
      <c r="U726" s="148"/>
      <c r="V726" s="148"/>
    </row>
    <row r="727" spans="1:22" s="147" customFormat="1" ht="10.5" hidden="1" customHeight="1" x14ac:dyDescent="0.2">
      <c r="A727" s="145"/>
      <c r="B727" s="145"/>
      <c r="C727" s="145"/>
      <c r="D727" s="146"/>
      <c r="H727" s="148"/>
      <c r="I727" s="148"/>
      <c r="J727" s="148"/>
      <c r="K727" s="148"/>
      <c r="L727" s="148"/>
      <c r="M727" s="148"/>
      <c r="N727" s="148"/>
      <c r="O727" s="148"/>
      <c r="P727" s="148"/>
      <c r="Q727" s="148"/>
      <c r="R727" s="148"/>
      <c r="S727" s="148"/>
      <c r="T727" s="148"/>
      <c r="U727" s="148"/>
      <c r="V727" s="148"/>
    </row>
    <row r="728" spans="1:22" s="147" customFormat="1" ht="10.5" hidden="1" customHeight="1" x14ac:dyDescent="0.2">
      <c r="A728" s="145"/>
      <c r="B728" s="145"/>
      <c r="C728" s="145"/>
      <c r="D728" s="146"/>
      <c r="H728" s="148"/>
      <c r="I728" s="148"/>
      <c r="J728" s="148"/>
      <c r="K728" s="148"/>
      <c r="L728" s="148"/>
      <c r="M728" s="148"/>
      <c r="N728" s="148"/>
      <c r="O728" s="148"/>
      <c r="P728" s="148"/>
      <c r="Q728" s="148"/>
      <c r="R728" s="148"/>
      <c r="S728" s="148"/>
      <c r="T728" s="148"/>
      <c r="U728" s="148"/>
      <c r="V728" s="148"/>
    </row>
    <row r="729" spans="1:22" s="147" customFormat="1" ht="10.5" hidden="1" customHeight="1" x14ac:dyDescent="0.2">
      <c r="A729" s="145"/>
      <c r="B729" s="145"/>
      <c r="C729" s="145"/>
      <c r="D729" s="146"/>
      <c r="H729" s="148"/>
      <c r="I729" s="148"/>
      <c r="J729" s="148"/>
      <c r="K729" s="148"/>
      <c r="L729" s="148"/>
      <c r="M729" s="148"/>
      <c r="N729" s="148"/>
      <c r="O729" s="148"/>
      <c r="P729" s="148"/>
      <c r="Q729" s="148"/>
      <c r="R729" s="148"/>
      <c r="S729" s="148"/>
      <c r="T729" s="148"/>
      <c r="U729" s="148"/>
      <c r="V729" s="148"/>
    </row>
    <row r="730" spans="1:22" s="147" customFormat="1" ht="10.5" hidden="1" customHeight="1" x14ac:dyDescent="0.2">
      <c r="A730" s="145"/>
      <c r="B730" s="145"/>
      <c r="C730" s="145"/>
      <c r="D730" s="146"/>
      <c r="H730" s="148"/>
      <c r="I730" s="148"/>
      <c r="J730" s="148"/>
      <c r="K730" s="148"/>
      <c r="L730" s="148"/>
      <c r="M730" s="148"/>
      <c r="N730" s="148"/>
      <c r="O730" s="148"/>
      <c r="P730" s="148"/>
      <c r="Q730" s="148"/>
      <c r="R730" s="148"/>
      <c r="S730" s="148"/>
      <c r="T730" s="148"/>
      <c r="U730" s="148"/>
      <c r="V730" s="148"/>
    </row>
    <row r="731" spans="1:22" s="147" customFormat="1" ht="10.5" hidden="1" customHeight="1" x14ac:dyDescent="0.2">
      <c r="A731" s="145"/>
      <c r="B731" s="145"/>
      <c r="C731" s="145"/>
      <c r="D731" s="146"/>
      <c r="H731" s="148"/>
      <c r="I731" s="148"/>
      <c r="J731" s="148"/>
      <c r="K731" s="148"/>
      <c r="L731" s="148"/>
      <c r="M731" s="148"/>
      <c r="N731" s="148"/>
      <c r="O731" s="148"/>
      <c r="P731" s="148"/>
      <c r="Q731" s="148"/>
      <c r="R731" s="148"/>
      <c r="S731" s="148"/>
      <c r="T731" s="148"/>
      <c r="U731" s="148"/>
      <c r="V731" s="148"/>
    </row>
    <row r="732" spans="1:22" s="147" customFormat="1" ht="10.5" hidden="1" customHeight="1" x14ac:dyDescent="0.2">
      <c r="A732" s="145"/>
      <c r="B732" s="145"/>
      <c r="C732" s="145"/>
      <c r="D732" s="146"/>
      <c r="H732" s="148"/>
      <c r="I732" s="148"/>
      <c r="J732" s="148"/>
      <c r="K732" s="148"/>
      <c r="L732" s="148"/>
      <c r="M732" s="148"/>
      <c r="N732" s="148"/>
      <c r="O732" s="148"/>
      <c r="P732" s="148"/>
      <c r="Q732" s="148"/>
      <c r="R732" s="148"/>
      <c r="S732" s="148"/>
      <c r="T732" s="148"/>
      <c r="U732" s="148"/>
      <c r="V732" s="148"/>
    </row>
    <row r="733" spans="1:22" s="147" customFormat="1" ht="10.5" hidden="1" customHeight="1" x14ac:dyDescent="0.2">
      <c r="A733" s="145"/>
      <c r="B733" s="145"/>
      <c r="C733" s="145"/>
      <c r="D733" s="146"/>
      <c r="H733" s="148"/>
      <c r="I733" s="148"/>
      <c r="J733" s="148"/>
      <c r="K733" s="148"/>
      <c r="L733" s="148"/>
      <c r="M733" s="148"/>
      <c r="N733" s="148"/>
      <c r="O733" s="148"/>
      <c r="P733" s="148"/>
      <c r="Q733" s="148"/>
      <c r="R733" s="148"/>
      <c r="S733" s="148"/>
      <c r="T733" s="148"/>
      <c r="U733" s="148"/>
      <c r="V733" s="148"/>
    </row>
    <row r="734" spans="1:22" s="147" customFormat="1" ht="10.5" hidden="1" customHeight="1" x14ac:dyDescent="0.2">
      <c r="A734" s="145"/>
      <c r="B734" s="145"/>
      <c r="C734" s="145"/>
      <c r="D734" s="146"/>
      <c r="H734" s="148"/>
      <c r="I734" s="148"/>
      <c r="J734" s="148"/>
      <c r="K734" s="148"/>
      <c r="L734" s="148"/>
      <c r="M734" s="148"/>
      <c r="N734" s="148"/>
      <c r="O734" s="148"/>
      <c r="P734" s="148"/>
      <c r="Q734" s="148"/>
      <c r="R734" s="148"/>
      <c r="S734" s="148"/>
      <c r="T734" s="148"/>
      <c r="U734" s="148"/>
      <c r="V734" s="148"/>
    </row>
    <row r="735" spans="1:22" s="147" customFormat="1" ht="10.5" hidden="1" customHeight="1" x14ac:dyDescent="0.2">
      <c r="A735" s="145"/>
      <c r="B735" s="145"/>
      <c r="C735" s="145"/>
      <c r="D735" s="146"/>
      <c r="H735" s="148"/>
      <c r="I735" s="148"/>
      <c r="J735" s="148"/>
      <c r="K735" s="148"/>
      <c r="L735" s="148"/>
      <c r="M735" s="148"/>
      <c r="N735" s="148"/>
      <c r="O735" s="148"/>
      <c r="P735" s="148"/>
      <c r="Q735" s="148"/>
      <c r="R735" s="148"/>
      <c r="S735" s="148"/>
      <c r="T735" s="148"/>
      <c r="U735" s="148"/>
      <c r="V735" s="148"/>
    </row>
    <row r="736" spans="1:22" s="147" customFormat="1" ht="10.5" hidden="1" customHeight="1" x14ac:dyDescent="0.2">
      <c r="A736" s="145"/>
      <c r="B736" s="145"/>
      <c r="C736" s="145"/>
      <c r="D736" s="146"/>
      <c r="H736" s="148"/>
      <c r="I736" s="148"/>
      <c r="J736" s="148"/>
      <c r="K736" s="148"/>
      <c r="L736" s="148"/>
      <c r="M736" s="148"/>
      <c r="N736" s="148"/>
      <c r="O736" s="148"/>
      <c r="P736" s="148"/>
      <c r="Q736" s="148"/>
      <c r="R736" s="148"/>
      <c r="S736" s="148"/>
      <c r="T736" s="148"/>
      <c r="U736" s="148"/>
      <c r="V736" s="148"/>
    </row>
    <row r="737" spans="1:22" s="147" customFormat="1" ht="10.5" hidden="1" customHeight="1" x14ac:dyDescent="0.2">
      <c r="A737" s="145"/>
      <c r="B737" s="145"/>
      <c r="C737" s="145"/>
      <c r="D737" s="146"/>
      <c r="H737" s="148"/>
      <c r="I737" s="148"/>
      <c r="J737" s="148"/>
      <c r="K737" s="148"/>
      <c r="L737" s="148"/>
      <c r="M737" s="148"/>
      <c r="N737" s="148"/>
      <c r="O737" s="148"/>
      <c r="P737" s="148"/>
      <c r="Q737" s="148"/>
      <c r="R737" s="148"/>
      <c r="S737" s="148"/>
      <c r="T737" s="148"/>
      <c r="U737" s="148"/>
      <c r="V737" s="148"/>
    </row>
    <row r="738" spans="1:22" s="147" customFormat="1" ht="10.5" hidden="1" customHeight="1" x14ac:dyDescent="0.2">
      <c r="A738" s="145"/>
      <c r="B738" s="145"/>
      <c r="C738" s="145"/>
      <c r="D738" s="146"/>
      <c r="H738" s="148"/>
      <c r="I738" s="148"/>
      <c r="J738" s="148"/>
      <c r="K738" s="148"/>
      <c r="L738" s="148"/>
      <c r="M738" s="148"/>
      <c r="N738" s="148"/>
      <c r="O738" s="148"/>
      <c r="P738" s="148"/>
      <c r="Q738" s="148"/>
      <c r="R738" s="148"/>
      <c r="S738" s="148"/>
      <c r="T738" s="148"/>
      <c r="U738" s="148"/>
      <c r="V738" s="148"/>
    </row>
    <row r="739" spans="1:22" s="147" customFormat="1" ht="10.5" hidden="1" customHeight="1" x14ac:dyDescent="0.2">
      <c r="A739" s="145"/>
      <c r="B739" s="145"/>
      <c r="C739" s="145"/>
      <c r="D739" s="146"/>
      <c r="H739" s="148"/>
      <c r="I739" s="148"/>
      <c r="J739" s="148"/>
      <c r="K739" s="148"/>
      <c r="L739" s="148"/>
      <c r="M739" s="148"/>
      <c r="N739" s="148"/>
      <c r="O739" s="148"/>
      <c r="P739" s="148"/>
      <c r="Q739" s="148"/>
      <c r="R739" s="148"/>
      <c r="S739" s="148"/>
      <c r="T739" s="148"/>
      <c r="U739" s="148"/>
      <c r="V739" s="148"/>
    </row>
    <row r="740" spans="1:22" s="147" customFormat="1" ht="10.5" hidden="1" customHeight="1" x14ac:dyDescent="0.2">
      <c r="A740" s="145"/>
      <c r="B740" s="145"/>
      <c r="C740" s="145"/>
      <c r="D740" s="146"/>
      <c r="H740" s="148"/>
      <c r="I740" s="148"/>
      <c r="J740" s="148"/>
      <c r="K740" s="148"/>
      <c r="L740" s="148"/>
      <c r="M740" s="148"/>
      <c r="N740" s="148"/>
      <c r="O740" s="148"/>
      <c r="P740" s="148"/>
      <c r="Q740" s="148"/>
      <c r="R740" s="148"/>
      <c r="S740" s="148"/>
      <c r="T740" s="148"/>
      <c r="U740" s="148"/>
      <c r="V740" s="148"/>
    </row>
    <row r="741" spans="1:22" s="147" customFormat="1" ht="10.5" hidden="1" customHeight="1" x14ac:dyDescent="0.2">
      <c r="A741" s="145"/>
      <c r="B741" s="145"/>
      <c r="C741" s="145"/>
      <c r="D741" s="146"/>
      <c r="H741" s="148"/>
      <c r="I741" s="148"/>
      <c r="J741" s="148"/>
      <c r="K741" s="148"/>
      <c r="L741" s="148"/>
      <c r="M741" s="148"/>
      <c r="N741" s="148"/>
      <c r="O741" s="148"/>
      <c r="P741" s="148"/>
      <c r="Q741" s="148"/>
      <c r="R741" s="148"/>
      <c r="S741" s="148"/>
      <c r="T741" s="148"/>
      <c r="U741" s="148"/>
      <c r="V741" s="148"/>
    </row>
    <row r="742" spans="1:22" s="147" customFormat="1" ht="10.5" hidden="1" customHeight="1" x14ac:dyDescent="0.2">
      <c r="A742" s="145"/>
      <c r="B742" s="145"/>
      <c r="C742" s="145"/>
      <c r="D742" s="146"/>
      <c r="H742" s="148"/>
      <c r="I742" s="148"/>
      <c r="J742" s="148"/>
      <c r="K742" s="148"/>
      <c r="L742" s="148"/>
      <c r="M742" s="148"/>
      <c r="N742" s="148"/>
      <c r="O742" s="148"/>
      <c r="P742" s="148"/>
      <c r="Q742" s="148"/>
      <c r="R742" s="148"/>
      <c r="S742" s="148"/>
      <c r="T742" s="148"/>
      <c r="U742" s="148"/>
      <c r="V742" s="148"/>
    </row>
    <row r="743" spans="1:22" s="147" customFormat="1" ht="10.5" hidden="1" customHeight="1" x14ac:dyDescent="0.2">
      <c r="A743" s="145"/>
      <c r="B743" s="145"/>
      <c r="C743" s="145"/>
      <c r="D743" s="146"/>
      <c r="H743" s="148"/>
      <c r="I743" s="148"/>
      <c r="J743" s="148"/>
      <c r="K743" s="148"/>
      <c r="L743" s="148"/>
      <c r="M743" s="148"/>
      <c r="N743" s="148"/>
      <c r="O743" s="148"/>
      <c r="P743" s="148"/>
      <c r="Q743" s="148"/>
      <c r="R743" s="148"/>
      <c r="S743" s="148"/>
      <c r="T743" s="148"/>
      <c r="U743" s="148"/>
      <c r="V743" s="148"/>
    </row>
    <row r="744" spans="1:22" s="147" customFormat="1" ht="10.5" hidden="1" customHeight="1" x14ac:dyDescent="0.2">
      <c r="A744" s="145"/>
      <c r="B744" s="145"/>
      <c r="C744" s="145"/>
      <c r="D744" s="146"/>
      <c r="H744" s="148"/>
      <c r="I744" s="148"/>
      <c r="J744" s="148"/>
      <c r="K744" s="148"/>
      <c r="L744" s="148"/>
      <c r="M744" s="148"/>
      <c r="N744" s="148"/>
      <c r="O744" s="148"/>
      <c r="P744" s="148"/>
      <c r="Q744" s="148"/>
      <c r="R744" s="148"/>
      <c r="S744" s="148"/>
      <c r="T744" s="148"/>
      <c r="U744" s="148"/>
      <c r="V744" s="148"/>
    </row>
    <row r="745" spans="1:22" s="147" customFormat="1" ht="10.5" hidden="1" customHeight="1" x14ac:dyDescent="0.2">
      <c r="A745" s="145"/>
      <c r="B745" s="145"/>
      <c r="C745" s="145"/>
      <c r="D745" s="146"/>
      <c r="H745" s="148"/>
      <c r="I745" s="148"/>
      <c r="J745" s="148"/>
      <c r="K745" s="148"/>
      <c r="L745" s="148"/>
      <c r="M745" s="148"/>
      <c r="N745" s="148"/>
      <c r="O745" s="148"/>
      <c r="P745" s="148"/>
      <c r="Q745" s="148"/>
      <c r="R745" s="148"/>
      <c r="S745" s="148"/>
      <c r="T745" s="148"/>
      <c r="U745" s="148"/>
      <c r="V745" s="148"/>
    </row>
    <row r="746" spans="1:22" s="147" customFormat="1" ht="10.5" hidden="1" customHeight="1" x14ac:dyDescent="0.2">
      <c r="A746" s="145"/>
      <c r="B746" s="145"/>
      <c r="C746" s="145"/>
      <c r="D746" s="146"/>
      <c r="H746" s="148"/>
      <c r="I746" s="148"/>
      <c r="J746" s="148"/>
      <c r="K746" s="148"/>
      <c r="L746" s="148"/>
      <c r="M746" s="148"/>
      <c r="N746" s="148"/>
      <c r="O746" s="148"/>
      <c r="P746" s="148"/>
      <c r="Q746" s="148"/>
      <c r="R746" s="148"/>
      <c r="S746" s="148"/>
      <c r="T746" s="148"/>
      <c r="U746" s="148"/>
      <c r="V746" s="148"/>
    </row>
    <row r="747" spans="1:22" s="147" customFormat="1" ht="10.5" hidden="1" customHeight="1" x14ac:dyDescent="0.2">
      <c r="A747" s="145"/>
      <c r="B747" s="145"/>
      <c r="C747" s="145"/>
      <c r="D747" s="146"/>
      <c r="H747" s="148"/>
      <c r="I747" s="148"/>
      <c r="J747" s="148"/>
      <c r="K747" s="148"/>
      <c r="L747" s="148"/>
      <c r="M747" s="148"/>
      <c r="N747" s="148"/>
      <c r="O747" s="148"/>
      <c r="P747" s="148"/>
      <c r="Q747" s="148"/>
      <c r="R747" s="148"/>
      <c r="S747" s="148"/>
      <c r="T747" s="148"/>
      <c r="U747" s="148"/>
      <c r="V747" s="148"/>
    </row>
    <row r="748" spans="1:22" s="147" customFormat="1" ht="10.5" hidden="1" customHeight="1" x14ac:dyDescent="0.2">
      <c r="A748" s="145"/>
      <c r="B748" s="145"/>
      <c r="C748" s="145"/>
      <c r="D748" s="146"/>
      <c r="H748" s="148"/>
      <c r="I748" s="148"/>
      <c r="J748" s="148"/>
      <c r="K748" s="148"/>
      <c r="L748" s="148"/>
      <c r="M748" s="148"/>
      <c r="N748" s="148"/>
      <c r="O748" s="148"/>
      <c r="P748" s="148"/>
      <c r="Q748" s="148"/>
      <c r="R748" s="148"/>
      <c r="S748" s="148"/>
      <c r="T748" s="148"/>
      <c r="U748" s="148"/>
      <c r="V748" s="148"/>
    </row>
    <row r="749" spans="1:22" s="147" customFormat="1" ht="10.5" hidden="1" customHeight="1" x14ac:dyDescent="0.2">
      <c r="A749" s="145"/>
      <c r="B749" s="145"/>
      <c r="C749" s="145"/>
      <c r="D749" s="146"/>
      <c r="H749" s="148"/>
      <c r="I749" s="148"/>
      <c r="J749" s="148"/>
      <c r="K749" s="148"/>
      <c r="L749" s="148"/>
      <c r="M749" s="148"/>
      <c r="N749" s="148"/>
      <c r="O749" s="148"/>
      <c r="P749" s="148"/>
      <c r="Q749" s="148"/>
      <c r="R749" s="148"/>
      <c r="S749" s="148"/>
      <c r="T749" s="148"/>
      <c r="U749" s="148"/>
      <c r="V749" s="148"/>
    </row>
    <row r="750" spans="1:22" s="147" customFormat="1" ht="10.5" hidden="1" customHeight="1" x14ac:dyDescent="0.2">
      <c r="A750" s="145"/>
      <c r="B750" s="145"/>
      <c r="C750" s="145"/>
      <c r="D750" s="146"/>
      <c r="H750" s="148"/>
      <c r="I750" s="148"/>
      <c r="J750" s="148"/>
      <c r="K750" s="148"/>
      <c r="L750" s="148"/>
      <c r="M750" s="148"/>
      <c r="N750" s="148"/>
      <c r="O750" s="148"/>
      <c r="P750" s="148"/>
      <c r="Q750" s="148"/>
      <c r="R750" s="148"/>
      <c r="S750" s="148"/>
      <c r="T750" s="148"/>
      <c r="U750" s="148"/>
      <c r="V750" s="148"/>
    </row>
    <row r="751" spans="1:22" s="147" customFormat="1" ht="10.5" hidden="1" customHeight="1" x14ac:dyDescent="0.2">
      <c r="A751" s="145"/>
      <c r="B751" s="145"/>
      <c r="C751" s="145"/>
      <c r="D751" s="146"/>
      <c r="H751" s="148"/>
      <c r="I751" s="148"/>
      <c r="J751" s="148"/>
      <c r="K751" s="148"/>
      <c r="L751" s="148"/>
      <c r="M751" s="148"/>
      <c r="N751" s="148"/>
      <c r="O751" s="148"/>
      <c r="P751" s="148"/>
      <c r="Q751" s="148"/>
      <c r="R751" s="148"/>
      <c r="S751" s="148"/>
      <c r="T751" s="148"/>
      <c r="U751" s="148"/>
      <c r="V751" s="148"/>
    </row>
    <row r="752" spans="1:22" s="147" customFormat="1" ht="10.5" hidden="1" customHeight="1" x14ac:dyDescent="0.2">
      <c r="A752" s="145"/>
      <c r="B752" s="145"/>
      <c r="C752" s="145"/>
      <c r="D752" s="146"/>
      <c r="H752" s="148"/>
      <c r="I752" s="148"/>
      <c r="J752" s="148"/>
      <c r="K752" s="148"/>
      <c r="L752" s="148"/>
      <c r="M752" s="148"/>
      <c r="N752" s="148"/>
      <c r="O752" s="148"/>
      <c r="P752" s="148"/>
      <c r="Q752" s="148"/>
      <c r="R752" s="148"/>
      <c r="S752" s="148"/>
      <c r="T752" s="148"/>
      <c r="U752" s="148"/>
      <c r="V752" s="148"/>
    </row>
    <row r="753" spans="1:22" s="147" customFormat="1" ht="10.5" hidden="1" customHeight="1" x14ac:dyDescent="0.2">
      <c r="A753" s="145"/>
      <c r="B753" s="145"/>
      <c r="C753" s="145"/>
      <c r="D753" s="146"/>
      <c r="H753" s="148"/>
      <c r="I753" s="148"/>
      <c r="J753" s="148"/>
      <c r="K753" s="148"/>
      <c r="L753" s="148"/>
      <c r="M753" s="148"/>
      <c r="N753" s="148"/>
      <c r="O753" s="148"/>
      <c r="P753" s="148"/>
      <c r="Q753" s="148"/>
      <c r="R753" s="148"/>
      <c r="S753" s="148"/>
      <c r="T753" s="148"/>
      <c r="U753" s="148"/>
      <c r="V753" s="148"/>
    </row>
    <row r="754" spans="1:22" s="147" customFormat="1" ht="10.5" hidden="1" customHeight="1" x14ac:dyDescent="0.2">
      <c r="A754" s="145"/>
      <c r="B754" s="145"/>
      <c r="C754" s="145"/>
      <c r="D754" s="146"/>
      <c r="H754" s="148"/>
      <c r="I754" s="148"/>
      <c r="J754" s="148"/>
      <c r="K754" s="148"/>
      <c r="L754" s="148"/>
      <c r="M754" s="148"/>
      <c r="N754" s="148"/>
      <c r="O754" s="148"/>
      <c r="P754" s="148"/>
      <c r="Q754" s="148"/>
      <c r="R754" s="148"/>
      <c r="S754" s="148"/>
      <c r="T754" s="148"/>
      <c r="U754" s="148"/>
      <c r="V754" s="148"/>
    </row>
    <row r="755" spans="1:22" s="147" customFormat="1" ht="10.5" hidden="1" customHeight="1" x14ac:dyDescent="0.2">
      <c r="A755" s="145"/>
      <c r="B755" s="145"/>
      <c r="C755" s="145"/>
      <c r="D755" s="146"/>
      <c r="H755" s="148"/>
      <c r="I755" s="148"/>
      <c r="J755" s="148"/>
      <c r="K755" s="148"/>
      <c r="L755" s="148"/>
      <c r="M755" s="148"/>
      <c r="N755" s="148"/>
      <c r="O755" s="148"/>
      <c r="P755" s="148"/>
      <c r="Q755" s="148"/>
      <c r="R755" s="148"/>
      <c r="S755" s="148"/>
      <c r="T755" s="148"/>
      <c r="U755" s="148"/>
      <c r="V755" s="148"/>
    </row>
    <row r="756" spans="1:22" s="147" customFormat="1" ht="10.5" hidden="1" customHeight="1" x14ac:dyDescent="0.2">
      <c r="A756" s="145"/>
      <c r="B756" s="145"/>
      <c r="C756" s="145"/>
      <c r="D756" s="146"/>
      <c r="H756" s="148"/>
      <c r="I756" s="148"/>
      <c r="J756" s="148"/>
      <c r="K756" s="148"/>
      <c r="L756" s="148"/>
      <c r="M756" s="148"/>
      <c r="N756" s="148"/>
      <c r="O756" s="148"/>
      <c r="P756" s="148"/>
      <c r="Q756" s="148"/>
      <c r="R756" s="148"/>
      <c r="S756" s="148"/>
      <c r="T756" s="148"/>
      <c r="U756" s="148"/>
      <c r="V756" s="148"/>
    </row>
    <row r="757" spans="1:22" s="147" customFormat="1" ht="10.5" hidden="1" customHeight="1" x14ac:dyDescent="0.2">
      <c r="A757" s="145"/>
      <c r="B757" s="145"/>
      <c r="C757" s="145"/>
      <c r="D757" s="146"/>
      <c r="H757" s="148"/>
      <c r="I757" s="148"/>
      <c r="J757" s="148"/>
      <c r="K757" s="148"/>
      <c r="L757" s="148"/>
      <c r="M757" s="148"/>
      <c r="N757" s="148"/>
      <c r="O757" s="148"/>
      <c r="P757" s="148"/>
      <c r="Q757" s="148"/>
      <c r="R757" s="148"/>
      <c r="S757" s="148"/>
      <c r="T757" s="148"/>
      <c r="U757" s="148"/>
      <c r="V757" s="148"/>
    </row>
    <row r="758" spans="1:22" s="147" customFormat="1" ht="10.5" hidden="1" customHeight="1" x14ac:dyDescent="0.2">
      <c r="A758" s="145"/>
      <c r="B758" s="145"/>
      <c r="C758" s="145"/>
      <c r="D758" s="146"/>
      <c r="H758" s="148"/>
      <c r="I758" s="148"/>
      <c r="J758" s="148"/>
      <c r="K758" s="148"/>
      <c r="L758" s="148"/>
      <c r="M758" s="148"/>
      <c r="N758" s="148"/>
      <c r="O758" s="148"/>
      <c r="P758" s="148"/>
      <c r="Q758" s="148"/>
      <c r="R758" s="148"/>
      <c r="S758" s="148"/>
      <c r="T758" s="148"/>
      <c r="U758" s="148"/>
      <c r="V758" s="148"/>
    </row>
    <row r="759" spans="1:22" s="147" customFormat="1" ht="10.5" hidden="1" customHeight="1" x14ac:dyDescent="0.2">
      <c r="A759" s="145"/>
      <c r="B759" s="145"/>
      <c r="C759" s="145"/>
      <c r="D759" s="146"/>
      <c r="H759" s="148"/>
      <c r="I759" s="148"/>
      <c r="J759" s="148"/>
      <c r="K759" s="148"/>
      <c r="L759" s="148"/>
      <c r="M759" s="148"/>
      <c r="N759" s="148"/>
      <c r="O759" s="148"/>
      <c r="P759" s="148"/>
      <c r="Q759" s="148"/>
      <c r="R759" s="148"/>
      <c r="S759" s="148"/>
      <c r="T759" s="148"/>
      <c r="U759" s="148"/>
      <c r="V759" s="148"/>
    </row>
    <row r="760" spans="1:22" s="147" customFormat="1" ht="10.5" hidden="1" customHeight="1" x14ac:dyDescent="0.2">
      <c r="A760" s="145"/>
      <c r="B760" s="145"/>
      <c r="C760" s="145"/>
      <c r="D760" s="146"/>
      <c r="H760" s="148"/>
      <c r="I760" s="148"/>
      <c r="J760" s="148"/>
      <c r="K760" s="148"/>
      <c r="L760" s="148"/>
      <c r="M760" s="148"/>
      <c r="N760" s="148"/>
      <c r="O760" s="148"/>
      <c r="P760" s="148"/>
      <c r="Q760" s="148"/>
      <c r="R760" s="148"/>
      <c r="S760" s="148"/>
      <c r="T760" s="148"/>
      <c r="U760" s="148"/>
      <c r="V760" s="148"/>
    </row>
    <row r="761" spans="1:22" s="147" customFormat="1" ht="10.5" hidden="1" customHeight="1" x14ac:dyDescent="0.2">
      <c r="A761" s="145"/>
      <c r="B761" s="145"/>
      <c r="C761" s="145"/>
      <c r="D761" s="146"/>
      <c r="H761" s="148"/>
      <c r="I761" s="148"/>
      <c r="J761" s="148"/>
      <c r="K761" s="148"/>
      <c r="L761" s="148"/>
      <c r="M761" s="148"/>
      <c r="N761" s="148"/>
      <c r="O761" s="148"/>
      <c r="P761" s="148"/>
      <c r="Q761" s="148"/>
      <c r="R761" s="148"/>
      <c r="S761" s="148"/>
      <c r="T761" s="148"/>
      <c r="U761" s="148"/>
      <c r="V761" s="148"/>
    </row>
    <row r="762" spans="1:22" s="147" customFormat="1" ht="10.5" hidden="1" customHeight="1" x14ac:dyDescent="0.2">
      <c r="A762" s="145"/>
      <c r="B762" s="145"/>
      <c r="C762" s="145"/>
      <c r="D762" s="146"/>
      <c r="H762" s="148"/>
      <c r="I762" s="148"/>
      <c r="J762" s="148"/>
      <c r="K762" s="148"/>
      <c r="L762" s="148"/>
      <c r="M762" s="148"/>
      <c r="N762" s="148"/>
      <c r="O762" s="148"/>
      <c r="P762" s="148"/>
      <c r="Q762" s="148"/>
      <c r="R762" s="148"/>
      <c r="S762" s="148"/>
      <c r="T762" s="148"/>
      <c r="U762" s="148"/>
      <c r="V762" s="148"/>
    </row>
    <row r="763" spans="1:22" s="147" customFormat="1" ht="10.5" hidden="1" customHeight="1" x14ac:dyDescent="0.2">
      <c r="A763" s="145"/>
      <c r="B763" s="145"/>
      <c r="C763" s="145"/>
      <c r="D763" s="146"/>
      <c r="H763" s="148"/>
      <c r="I763" s="148"/>
      <c r="J763" s="148"/>
      <c r="K763" s="148"/>
      <c r="L763" s="148"/>
      <c r="M763" s="148"/>
      <c r="N763" s="148"/>
      <c r="O763" s="148"/>
      <c r="P763" s="148"/>
      <c r="Q763" s="148"/>
      <c r="R763" s="148"/>
      <c r="S763" s="148"/>
      <c r="T763" s="148"/>
      <c r="U763" s="148"/>
      <c r="V763" s="148"/>
    </row>
    <row r="764" spans="1:22" s="147" customFormat="1" ht="10.5" hidden="1" customHeight="1" x14ac:dyDescent="0.2">
      <c r="A764" s="145"/>
      <c r="B764" s="145"/>
      <c r="C764" s="145"/>
      <c r="D764" s="146"/>
      <c r="H764" s="148"/>
      <c r="I764" s="148"/>
      <c r="J764" s="148"/>
      <c r="K764" s="148"/>
      <c r="L764" s="148"/>
      <c r="M764" s="148"/>
      <c r="N764" s="148"/>
      <c r="O764" s="148"/>
      <c r="P764" s="148"/>
      <c r="Q764" s="148"/>
      <c r="R764" s="148"/>
      <c r="S764" s="148"/>
      <c r="T764" s="148"/>
      <c r="U764" s="148"/>
      <c r="V764" s="148"/>
    </row>
    <row r="765" spans="1:22" s="147" customFormat="1" ht="10.5" hidden="1" customHeight="1" x14ac:dyDescent="0.2">
      <c r="A765" s="145"/>
      <c r="B765" s="145"/>
      <c r="C765" s="145"/>
      <c r="D765" s="146"/>
      <c r="H765" s="148"/>
      <c r="I765" s="148"/>
      <c r="J765" s="148"/>
      <c r="K765" s="148"/>
      <c r="L765" s="148"/>
      <c r="M765" s="148"/>
      <c r="N765" s="148"/>
      <c r="O765" s="148"/>
      <c r="P765" s="148"/>
      <c r="Q765" s="148"/>
      <c r="R765" s="148"/>
      <c r="S765" s="148"/>
      <c r="T765" s="148"/>
      <c r="U765" s="148"/>
      <c r="V765" s="148"/>
    </row>
    <row r="766" spans="1:22" s="147" customFormat="1" ht="10.5" hidden="1" customHeight="1" x14ac:dyDescent="0.2">
      <c r="A766" s="145"/>
      <c r="B766" s="145"/>
      <c r="C766" s="145"/>
      <c r="D766" s="146"/>
      <c r="H766" s="148"/>
      <c r="I766" s="148"/>
      <c r="J766" s="148"/>
      <c r="K766" s="148"/>
      <c r="L766" s="148"/>
      <c r="M766" s="148"/>
      <c r="N766" s="148"/>
      <c r="O766" s="148"/>
      <c r="P766" s="148"/>
      <c r="Q766" s="148"/>
      <c r="R766" s="148"/>
      <c r="S766" s="148"/>
      <c r="T766" s="148"/>
      <c r="U766" s="148"/>
      <c r="V766" s="148"/>
    </row>
    <row r="767" spans="1:22" s="147" customFormat="1" ht="10.5" hidden="1" customHeight="1" x14ac:dyDescent="0.2">
      <c r="A767" s="145"/>
      <c r="B767" s="145"/>
      <c r="C767" s="145"/>
      <c r="D767" s="146"/>
      <c r="H767" s="148"/>
      <c r="I767" s="148"/>
      <c r="J767" s="148"/>
      <c r="K767" s="148"/>
      <c r="L767" s="148"/>
      <c r="M767" s="148"/>
      <c r="N767" s="148"/>
      <c r="O767" s="148"/>
      <c r="P767" s="148"/>
      <c r="Q767" s="148"/>
      <c r="R767" s="148"/>
      <c r="S767" s="148"/>
      <c r="T767" s="148"/>
      <c r="U767" s="148"/>
      <c r="V767" s="148"/>
    </row>
    <row r="768" spans="1:22" s="147" customFormat="1" ht="10.5" hidden="1" customHeight="1" x14ac:dyDescent="0.2">
      <c r="A768" s="145"/>
      <c r="B768" s="145"/>
      <c r="C768" s="145"/>
      <c r="D768" s="146"/>
      <c r="H768" s="148"/>
      <c r="I768" s="148"/>
      <c r="J768" s="148"/>
      <c r="K768" s="148"/>
      <c r="L768" s="148"/>
      <c r="M768" s="148"/>
      <c r="N768" s="148"/>
      <c r="O768" s="148"/>
      <c r="P768" s="148"/>
      <c r="Q768" s="148"/>
      <c r="R768" s="148"/>
      <c r="S768" s="148"/>
      <c r="T768" s="148"/>
      <c r="U768" s="148"/>
      <c r="V768" s="148"/>
    </row>
    <row r="769" spans="1:22" s="147" customFormat="1" ht="10.5" hidden="1" customHeight="1" x14ac:dyDescent="0.2">
      <c r="A769" s="145"/>
      <c r="B769" s="145"/>
      <c r="C769" s="145"/>
      <c r="D769" s="146"/>
      <c r="H769" s="148"/>
      <c r="I769" s="148"/>
      <c r="J769" s="148"/>
      <c r="K769" s="148"/>
      <c r="L769" s="148"/>
      <c r="M769" s="148"/>
      <c r="N769" s="148"/>
      <c r="O769" s="148"/>
      <c r="P769" s="148"/>
      <c r="Q769" s="148"/>
      <c r="R769" s="148"/>
      <c r="S769" s="148"/>
      <c r="T769" s="148"/>
      <c r="U769" s="148"/>
      <c r="V769" s="148"/>
    </row>
    <row r="770" spans="1:22" s="147" customFormat="1" ht="10.5" hidden="1" customHeight="1" x14ac:dyDescent="0.2">
      <c r="A770" s="145"/>
      <c r="B770" s="145"/>
      <c r="C770" s="145"/>
      <c r="D770" s="146"/>
      <c r="H770" s="148"/>
      <c r="I770" s="148"/>
      <c r="J770" s="148"/>
      <c r="K770" s="148"/>
      <c r="L770" s="148"/>
      <c r="M770" s="148"/>
      <c r="N770" s="148"/>
      <c r="O770" s="148"/>
      <c r="P770" s="148"/>
      <c r="Q770" s="148"/>
      <c r="R770" s="148"/>
      <c r="S770" s="148"/>
      <c r="T770" s="148"/>
      <c r="U770" s="148"/>
      <c r="V770" s="148"/>
    </row>
    <row r="771" spans="1:22" s="147" customFormat="1" ht="10.5" hidden="1" customHeight="1" x14ac:dyDescent="0.2">
      <c r="A771" s="145"/>
      <c r="B771" s="145"/>
      <c r="C771" s="145"/>
      <c r="D771" s="146"/>
      <c r="H771" s="148"/>
      <c r="I771" s="148"/>
      <c r="J771" s="148"/>
      <c r="K771" s="148"/>
      <c r="L771" s="148"/>
      <c r="M771" s="148"/>
      <c r="N771" s="148"/>
      <c r="O771" s="148"/>
      <c r="P771" s="148"/>
      <c r="Q771" s="148"/>
      <c r="R771" s="148"/>
      <c r="S771" s="148"/>
      <c r="T771" s="148"/>
      <c r="U771" s="148"/>
      <c r="V771" s="148"/>
    </row>
    <row r="772" spans="1:22" s="147" customFormat="1" ht="10.5" hidden="1" customHeight="1" x14ac:dyDescent="0.2">
      <c r="A772" s="145"/>
      <c r="B772" s="145"/>
      <c r="C772" s="145"/>
      <c r="D772" s="146"/>
      <c r="H772" s="148"/>
      <c r="I772" s="148"/>
      <c r="J772" s="148"/>
      <c r="K772" s="148"/>
      <c r="L772" s="148"/>
      <c r="M772" s="148"/>
      <c r="N772" s="148"/>
      <c r="O772" s="148"/>
      <c r="P772" s="148"/>
      <c r="Q772" s="148"/>
      <c r="R772" s="148"/>
      <c r="S772" s="148"/>
      <c r="T772" s="148"/>
      <c r="U772" s="148"/>
      <c r="V772" s="148"/>
    </row>
    <row r="773" spans="1:22" s="147" customFormat="1" ht="10.5" hidden="1" customHeight="1" x14ac:dyDescent="0.2">
      <c r="A773" s="145"/>
      <c r="B773" s="145"/>
      <c r="C773" s="145"/>
      <c r="D773" s="146"/>
      <c r="H773" s="148"/>
      <c r="I773" s="148"/>
      <c r="J773" s="148"/>
      <c r="K773" s="148"/>
      <c r="L773" s="148"/>
      <c r="M773" s="148"/>
      <c r="N773" s="148"/>
      <c r="O773" s="148"/>
      <c r="P773" s="148"/>
      <c r="Q773" s="148"/>
      <c r="R773" s="148"/>
      <c r="S773" s="148"/>
      <c r="T773" s="148"/>
      <c r="U773" s="148"/>
      <c r="V773" s="148"/>
    </row>
    <row r="774" spans="1:22" s="147" customFormat="1" ht="10.5" hidden="1" customHeight="1" x14ac:dyDescent="0.2">
      <c r="A774" s="145"/>
      <c r="B774" s="145"/>
      <c r="C774" s="145"/>
      <c r="D774" s="146"/>
      <c r="H774" s="148"/>
      <c r="I774" s="148"/>
      <c r="J774" s="148"/>
      <c r="K774" s="148"/>
      <c r="L774" s="148"/>
      <c r="M774" s="148"/>
      <c r="N774" s="148"/>
      <c r="O774" s="148"/>
      <c r="P774" s="148"/>
      <c r="Q774" s="148"/>
      <c r="R774" s="148"/>
      <c r="S774" s="148"/>
      <c r="T774" s="148"/>
      <c r="U774" s="148"/>
      <c r="V774" s="148"/>
    </row>
    <row r="775" spans="1:22" s="147" customFormat="1" ht="10.5" hidden="1" customHeight="1" x14ac:dyDescent="0.2">
      <c r="A775" s="145"/>
      <c r="B775" s="145"/>
      <c r="C775" s="145"/>
      <c r="D775" s="146"/>
      <c r="H775" s="148"/>
      <c r="I775" s="148"/>
      <c r="J775" s="148"/>
      <c r="K775" s="148"/>
      <c r="L775" s="148"/>
      <c r="M775" s="148"/>
      <c r="N775" s="148"/>
      <c r="O775" s="148"/>
      <c r="P775" s="148"/>
      <c r="Q775" s="148"/>
      <c r="R775" s="148"/>
      <c r="S775" s="148"/>
      <c r="T775" s="148"/>
      <c r="U775" s="148"/>
      <c r="V775" s="148"/>
    </row>
    <row r="776" spans="1:22" s="147" customFormat="1" ht="10.5" hidden="1" customHeight="1" x14ac:dyDescent="0.2">
      <c r="A776" s="145"/>
      <c r="B776" s="145"/>
      <c r="C776" s="145"/>
      <c r="D776" s="146"/>
      <c r="H776" s="148"/>
      <c r="I776" s="148"/>
      <c r="J776" s="148"/>
      <c r="K776" s="148"/>
      <c r="L776" s="148"/>
      <c r="M776" s="148"/>
      <c r="N776" s="148"/>
      <c r="O776" s="148"/>
      <c r="P776" s="148"/>
      <c r="Q776" s="148"/>
      <c r="R776" s="148"/>
      <c r="S776" s="148"/>
      <c r="T776" s="148"/>
      <c r="U776" s="148"/>
      <c r="V776" s="148"/>
    </row>
    <row r="777" spans="1:22" s="147" customFormat="1" ht="10.5" hidden="1" customHeight="1" x14ac:dyDescent="0.2">
      <c r="A777" s="145"/>
      <c r="B777" s="145"/>
      <c r="C777" s="145"/>
      <c r="D777" s="146"/>
      <c r="H777" s="148"/>
      <c r="I777" s="148"/>
      <c r="J777" s="148"/>
      <c r="K777" s="148"/>
      <c r="L777" s="148"/>
      <c r="M777" s="148"/>
      <c r="N777" s="148"/>
      <c r="O777" s="148"/>
      <c r="P777" s="148"/>
      <c r="Q777" s="148"/>
      <c r="R777" s="148"/>
      <c r="S777" s="148"/>
      <c r="T777" s="148"/>
      <c r="U777" s="148"/>
      <c r="V777" s="148"/>
    </row>
    <row r="778" spans="1:22" s="147" customFormat="1" ht="10.5" hidden="1" customHeight="1" x14ac:dyDescent="0.2">
      <c r="A778" s="145"/>
      <c r="B778" s="145"/>
      <c r="C778" s="145"/>
      <c r="D778" s="146"/>
      <c r="H778" s="148"/>
      <c r="I778" s="148"/>
      <c r="J778" s="148"/>
      <c r="K778" s="148"/>
      <c r="L778" s="148"/>
      <c r="M778" s="148"/>
      <c r="N778" s="148"/>
      <c r="O778" s="148"/>
      <c r="P778" s="148"/>
      <c r="Q778" s="148"/>
      <c r="R778" s="148"/>
      <c r="S778" s="148"/>
      <c r="T778" s="148"/>
      <c r="U778" s="148"/>
      <c r="V778" s="148"/>
    </row>
    <row r="779" spans="1:22" s="147" customFormat="1" ht="10.5" hidden="1" customHeight="1" x14ac:dyDescent="0.2">
      <c r="A779" s="145"/>
      <c r="B779" s="145"/>
      <c r="C779" s="145"/>
      <c r="D779" s="146"/>
      <c r="H779" s="148"/>
      <c r="I779" s="148"/>
      <c r="J779" s="148"/>
      <c r="K779" s="148"/>
      <c r="L779" s="148"/>
      <c r="M779" s="148"/>
      <c r="N779" s="148"/>
      <c r="O779" s="148"/>
      <c r="P779" s="148"/>
      <c r="Q779" s="148"/>
      <c r="R779" s="148"/>
      <c r="S779" s="148"/>
      <c r="T779" s="148"/>
      <c r="U779" s="148"/>
      <c r="V779" s="148"/>
    </row>
    <row r="780" spans="1:22" s="147" customFormat="1" ht="10.5" hidden="1" customHeight="1" x14ac:dyDescent="0.2">
      <c r="A780" s="145"/>
      <c r="B780" s="145"/>
      <c r="C780" s="145"/>
      <c r="D780" s="146"/>
      <c r="H780" s="148"/>
      <c r="I780" s="148"/>
      <c r="J780" s="148"/>
      <c r="K780" s="148"/>
      <c r="L780" s="148"/>
      <c r="M780" s="148"/>
      <c r="N780" s="148"/>
      <c r="O780" s="148"/>
      <c r="P780" s="148"/>
      <c r="Q780" s="148"/>
      <c r="R780" s="148"/>
      <c r="S780" s="148"/>
      <c r="T780" s="148"/>
      <c r="U780" s="148"/>
      <c r="V780" s="148"/>
    </row>
    <row r="781" spans="1:22" s="147" customFormat="1" ht="10.5" hidden="1" customHeight="1" x14ac:dyDescent="0.2">
      <c r="A781" s="145"/>
      <c r="B781" s="145"/>
      <c r="C781" s="145"/>
      <c r="D781" s="146"/>
      <c r="H781" s="148"/>
      <c r="I781" s="148"/>
      <c r="J781" s="148"/>
      <c r="K781" s="148"/>
      <c r="L781" s="148"/>
      <c r="M781" s="148"/>
      <c r="N781" s="148"/>
      <c r="O781" s="148"/>
      <c r="P781" s="148"/>
      <c r="Q781" s="148"/>
      <c r="R781" s="148"/>
      <c r="S781" s="148"/>
      <c r="T781" s="148"/>
      <c r="U781" s="148"/>
      <c r="V781" s="148"/>
    </row>
    <row r="782" spans="1:22" s="147" customFormat="1" ht="10.5" hidden="1" customHeight="1" x14ac:dyDescent="0.2">
      <c r="A782" s="145"/>
      <c r="B782" s="145"/>
      <c r="C782" s="145"/>
      <c r="D782" s="146"/>
      <c r="H782" s="148"/>
      <c r="I782" s="148"/>
      <c r="J782" s="148"/>
      <c r="K782" s="148"/>
      <c r="L782" s="148"/>
      <c r="M782" s="148"/>
      <c r="N782" s="148"/>
      <c r="O782" s="148"/>
      <c r="P782" s="148"/>
      <c r="Q782" s="148"/>
      <c r="R782" s="148"/>
      <c r="S782" s="148"/>
      <c r="T782" s="148"/>
      <c r="U782" s="148"/>
      <c r="V782" s="148"/>
    </row>
    <row r="783" spans="1:22" s="147" customFormat="1" ht="10.5" hidden="1" customHeight="1" x14ac:dyDescent="0.2">
      <c r="A783" s="145"/>
      <c r="B783" s="145"/>
      <c r="C783" s="145"/>
      <c r="D783" s="146"/>
      <c r="H783" s="148"/>
      <c r="I783" s="148"/>
      <c r="J783" s="148"/>
      <c r="K783" s="148"/>
      <c r="L783" s="148"/>
      <c r="M783" s="148"/>
      <c r="N783" s="148"/>
      <c r="O783" s="148"/>
      <c r="P783" s="148"/>
      <c r="Q783" s="148"/>
      <c r="R783" s="148"/>
      <c r="S783" s="148"/>
      <c r="T783" s="148"/>
      <c r="U783" s="148"/>
      <c r="V783" s="148"/>
    </row>
    <row r="784" spans="1:22" s="147" customFormat="1" ht="10.5" hidden="1" customHeight="1" x14ac:dyDescent="0.2">
      <c r="A784" s="145"/>
      <c r="B784" s="145"/>
      <c r="C784" s="145"/>
      <c r="D784" s="146"/>
      <c r="H784" s="148"/>
      <c r="I784" s="148"/>
      <c r="J784" s="148"/>
      <c r="K784" s="148"/>
      <c r="L784" s="148"/>
      <c r="M784" s="148"/>
      <c r="N784" s="148"/>
      <c r="O784" s="148"/>
      <c r="P784" s="148"/>
      <c r="Q784" s="148"/>
      <c r="R784" s="148"/>
      <c r="S784" s="148"/>
      <c r="T784" s="148"/>
      <c r="U784" s="148"/>
      <c r="V784" s="148"/>
    </row>
    <row r="785" spans="1:22" s="147" customFormat="1" ht="10.5" hidden="1" customHeight="1" x14ac:dyDescent="0.2">
      <c r="A785" s="145"/>
      <c r="B785" s="145"/>
      <c r="C785" s="145"/>
      <c r="D785" s="146"/>
      <c r="H785" s="148"/>
      <c r="I785" s="148"/>
      <c r="J785" s="148"/>
      <c r="K785" s="148"/>
      <c r="L785" s="148"/>
      <c r="M785" s="148"/>
      <c r="N785" s="148"/>
      <c r="O785" s="148"/>
      <c r="P785" s="148"/>
      <c r="Q785" s="148"/>
      <c r="R785" s="148"/>
      <c r="S785" s="148"/>
      <c r="T785" s="148"/>
      <c r="U785" s="148"/>
      <c r="V785" s="148"/>
    </row>
    <row r="786" spans="1:22" s="147" customFormat="1" ht="10.5" hidden="1" customHeight="1" x14ac:dyDescent="0.2">
      <c r="A786" s="145"/>
      <c r="B786" s="145"/>
      <c r="C786" s="145"/>
      <c r="D786" s="146"/>
      <c r="H786" s="148"/>
      <c r="I786" s="148"/>
      <c r="J786" s="148"/>
      <c r="K786" s="148"/>
      <c r="L786" s="148"/>
      <c r="M786" s="148"/>
      <c r="N786" s="148"/>
      <c r="O786" s="148"/>
      <c r="P786" s="148"/>
      <c r="Q786" s="148"/>
      <c r="R786" s="148"/>
      <c r="S786" s="148"/>
      <c r="T786" s="148"/>
      <c r="U786" s="148"/>
      <c r="V786" s="148"/>
    </row>
    <row r="787" spans="1:22" s="147" customFormat="1" ht="10.5" hidden="1" customHeight="1" x14ac:dyDescent="0.2">
      <c r="A787" s="145"/>
      <c r="B787" s="145"/>
      <c r="C787" s="145"/>
      <c r="D787" s="146"/>
      <c r="H787" s="148"/>
      <c r="I787" s="148"/>
      <c r="J787" s="148"/>
      <c r="K787" s="148"/>
      <c r="L787" s="148"/>
      <c r="M787" s="148"/>
      <c r="N787" s="148"/>
      <c r="O787" s="148"/>
      <c r="P787" s="148"/>
      <c r="Q787" s="148"/>
      <c r="R787" s="148"/>
      <c r="S787" s="148"/>
      <c r="T787" s="148"/>
      <c r="U787" s="148"/>
      <c r="V787" s="148"/>
    </row>
    <row r="788" spans="1:22" s="147" customFormat="1" ht="10.5" hidden="1" customHeight="1" x14ac:dyDescent="0.2">
      <c r="A788" s="145"/>
      <c r="B788" s="145"/>
      <c r="C788" s="145"/>
      <c r="D788" s="146"/>
      <c r="H788" s="148"/>
      <c r="I788" s="148"/>
      <c r="J788" s="148"/>
      <c r="K788" s="148"/>
      <c r="L788" s="148"/>
      <c r="M788" s="148"/>
      <c r="N788" s="148"/>
      <c r="O788" s="148"/>
      <c r="P788" s="148"/>
      <c r="Q788" s="148"/>
      <c r="R788" s="148"/>
      <c r="S788" s="148"/>
      <c r="T788" s="148"/>
      <c r="U788" s="148"/>
      <c r="V788" s="148"/>
    </row>
    <row r="789" spans="1:22" s="147" customFormat="1" ht="10.5" hidden="1" customHeight="1" x14ac:dyDescent="0.2">
      <c r="A789" s="145"/>
      <c r="B789" s="145"/>
      <c r="C789" s="145"/>
      <c r="D789" s="146"/>
      <c r="H789" s="148"/>
      <c r="I789" s="148"/>
      <c r="J789" s="148"/>
      <c r="K789" s="148"/>
      <c r="L789" s="148"/>
      <c r="M789" s="148"/>
      <c r="N789" s="148"/>
      <c r="O789" s="148"/>
      <c r="P789" s="148"/>
      <c r="Q789" s="148"/>
      <c r="R789" s="148"/>
      <c r="S789" s="148"/>
      <c r="T789" s="148"/>
      <c r="U789" s="148"/>
      <c r="V789" s="148"/>
    </row>
    <row r="790" spans="1:22" s="147" customFormat="1" ht="10.5" hidden="1" customHeight="1" x14ac:dyDescent="0.2">
      <c r="A790" s="145"/>
      <c r="B790" s="145"/>
      <c r="C790" s="145"/>
      <c r="D790" s="146"/>
      <c r="H790" s="148"/>
      <c r="I790" s="148"/>
      <c r="J790" s="148"/>
      <c r="K790" s="148"/>
      <c r="L790" s="148"/>
      <c r="M790" s="148"/>
      <c r="N790" s="148"/>
      <c r="O790" s="148"/>
      <c r="P790" s="148"/>
      <c r="Q790" s="148"/>
      <c r="R790" s="148"/>
      <c r="S790" s="148"/>
      <c r="T790" s="148"/>
      <c r="U790" s="148"/>
      <c r="V790" s="148"/>
    </row>
    <row r="791" spans="1:22" s="147" customFormat="1" ht="10.5" hidden="1" customHeight="1" x14ac:dyDescent="0.2">
      <c r="A791" s="145"/>
      <c r="B791" s="145"/>
      <c r="C791" s="145"/>
      <c r="D791" s="146"/>
      <c r="H791" s="148"/>
      <c r="I791" s="148"/>
      <c r="J791" s="148"/>
      <c r="K791" s="148"/>
      <c r="L791" s="148"/>
      <c r="M791" s="148"/>
      <c r="N791" s="148"/>
      <c r="O791" s="148"/>
      <c r="P791" s="148"/>
      <c r="Q791" s="148"/>
      <c r="R791" s="148"/>
      <c r="S791" s="148"/>
      <c r="T791" s="148"/>
      <c r="U791" s="148"/>
      <c r="V791" s="148"/>
    </row>
    <row r="792" spans="1:22" s="147" customFormat="1" ht="10.5" hidden="1" customHeight="1" x14ac:dyDescent="0.2">
      <c r="A792" s="145"/>
      <c r="B792" s="145"/>
      <c r="C792" s="145"/>
      <c r="D792" s="146"/>
      <c r="H792" s="148"/>
      <c r="I792" s="148"/>
      <c r="J792" s="148"/>
      <c r="K792" s="148"/>
      <c r="L792" s="148"/>
      <c r="M792" s="148"/>
      <c r="N792" s="148"/>
      <c r="O792" s="148"/>
      <c r="P792" s="148"/>
      <c r="Q792" s="148"/>
      <c r="R792" s="148"/>
      <c r="S792" s="148"/>
      <c r="T792" s="148"/>
      <c r="U792" s="148"/>
      <c r="V792" s="148"/>
    </row>
    <row r="793" spans="1:22" s="147" customFormat="1" ht="10.5" hidden="1" customHeight="1" x14ac:dyDescent="0.2">
      <c r="A793" s="145"/>
      <c r="B793" s="145"/>
      <c r="C793" s="145"/>
      <c r="D793" s="146"/>
      <c r="H793" s="148"/>
      <c r="I793" s="148"/>
      <c r="J793" s="148"/>
      <c r="K793" s="148"/>
      <c r="L793" s="148"/>
      <c r="M793" s="148"/>
      <c r="N793" s="148"/>
      <c r="O793" s="148"/>
      <c r="P793" s="148"/>
      <c r="Q793" s="148"/>
      <c r="R793" s="148"/>
      <c r="S793" s="148"/>
      <c r="T793" s="148"/>
      <c r="U793" s="148"/>
      <c r="V793" s="148"/>
    </row>
    <row r="794" spans="1:22" s="147" customFormat="1" ht="10.5" hidden="1" customHeight="1" x14ac:dyDescent="0.2">
      <c r="A794" s="145"/>
      <c r="B794" s="145"/>
      <c r="C794" s="145"/>
      <c r="D794" s="146"/>
      <c r="H794" s="148"/>
      <c r="I794" s="148"/>
      <c r="J794" s="148"/>
      <c r="K794" s="148"/>
      <c r="L794" s="148"/>
      <c r="M794" s="148"/>
      <c r="N794" s="148"/>
      <c r="O794" s="148"/>
      <c r="P794" s="148"/>
      <c r="Q794" s="148"/>
      <c r="R794" s="148"/>
      <c r="S794" s="148"/>
      <c r="T794" s="148"/>
      <c r="U794" s="148"/>
      <c r="V794" s="148"/>
    </row>
    <row r="795" spans="1:22" s="147" customFormat="1" ht="10.5" hidden="1" customHeight="1" x14ac:dyDescent="0.2">
      <c r="A795" s="145"/>
      <c r="B795" s="145"/>
      <c r="C795" s="145"/>
      <c r="D795" s="146"/>
      <c r="H795" s="148"/>
      <c r="I795" s="148"/>
      <c r="J795" s="148"/>
      <c r="K795" s="148"/>
      <c r="L795" s="148"/>
      <c r="M795" s="148"/>
      <c r="N795" s="148"/>
      <c r="O795" s="148"/>
      <c r="P795" s="148"/>
      <c r="Q795" s="148"/>
      <c r="R795" s="148"/>
      <c r="S795" s="148"/>
      <c r="T795" s="148"/>
      <c r="U795" s="148"/>
      <c r="V795" s="148"/>
    </row>
    <row r="796" spans="1:22" s="147" customFormat="1" ht="10.5" hidden="1" customHeight="1" x14ac:dyDescent="0.2">
      <c r="A796" s="145"/>
      <c r="B796" s="145"/>
      <c r="C796" s="145"/>
      <c r="D796" s="146"/>
      <c r="H796" s="148"/>
      <c r="I796" s="148"/>
      <c r="J796" s="148"/>
      <c r="K796" s="148"/>
      <c r="L796" s="148"/>
      <c r="M796" s="148"/>
      <c r="N796" s="148"/>
      <c r="O796" s="148"/>
      <c r="P796" s="148"/>
      <c r="Q796" s="148"/>
      <c r="R796" s="148"/>
      <c r="S796" s="148"/>
      <c r="T796" s="148"/>
      <c r="U796" s="148"/>
      <c r="V796" s="148"/>
    </row>
    <row r="797" spans="1:22" s="147" customFormat="1" ht="10.5" hidden="1" customHeight="1" x14ac:dyDescent="0.2">
      <c r="A797" s="145"/>
      <c r="B797" s="145"/>
      <c r="C797" s="145"/>
      <c r="D797" s="146"/>
      <c r="H797" s="148"/>
      <c r="I797" s="148"/>
      <c r="J797" s="148"/>
      <c r="K797" s="148"/>
      <c r="L797" s="148"/>
      <c r="M797" s="148"/>
      <c r="N797" s="148"/>
      <c r="O797" s="148"/>
      <c r="P797" s="148"/>
      <c r="Q797" s="148"/>
      <c r="R797" s="148"/>
      <c r="S797" s="148"/>
      <c r="T797" s="148"/>
      <c r="U797" s="148"/>
      <c r="V797" s="148"/>
    </row>
    <row r="798" spans="1:22" s="147" customFormat="1" ht="10.5" hidden="1" customHeight="1" x14ac:dyDescent="0.2">
      <c r="A798" s="145"/>
      <c r="B798" s="145"/>
      <c r="C798" s="145"/>
      <c r="D798" s="146"/>
      <c r="H798" s="148"/>
      <c r="I798" s="148"/>
      <c r="J798" s="148"/>
      <c r="K798" s="148"/>
      <c r="L798" s="148"/>
      <c r="M798" s="148"/>
      <c r="N798" s="148"/>
      <c r="O798" s="148"/>
      <c r="P798" s="148"/>
      <c r="Q798" s="148"/>
      <c r="R798" s="148"/>
      <c r="S798" s="148"/>
      <c r="T798" s="148"/>
      <c r="U798" s="148"/>
      <c r="V798" s="148"/>
    </row>
    <row r="799" spans="1:22" s="147" customFormat="1" ht="10.5" hidden="1" customHeight="1" x14ac:dyDescent="0.2">
      <c r="A799" s="145"/>
      <c r="B799" s="145"/>
      <c r="C799" s="145"/>
      <c r="D799" s="146"/>
      <c r="H799" s="148"/>
      <c r="I799" s="148"/>
      <c r="J799" s="148"/>
      <c r="K799" s="148"/>
      <c r="L799" s="148"/>
      <c r="M799" s="148"/>
      <c r="N799" s="148"/>
      <c r="O799" s="148"/>
      <c r="P799" s="148"/>
      <c r="Q799" s="148"/>
      <c r="R799" s="148"/>
      <c r="S799" s="148"/>
      <c r="T799" s="148"/>
      <c r="U799" s="148"/>
      <c r="V799" s="148"/>
    </row>
    <row r="800" spans="1:22" s="147" customFormat="1" ht="10.5" hidden="1" customHeight="1" x14ac:dyDescent="0.2">
      <c r="A800" s="145"/>
      <c r="B800" s="145"/>
      <c r="C800" s="145"/>
      <c r="D800" s="146"/>
      <c r="H800" s="148"/>
      <c r="I800" s="148"/>
      <c r="J800" s="148"/>
      <c r="K800" s="148"/>
      <c r="L800" s="148"/>
      <c r="M800" s="148"/>
      <c r="N800" s="148"/>
      <c r="O800" s="148"/>
      <c r="P800" s="148"/>
      <c r="Q800" s="148"/>
      <c r="R800" s="148"/>
      <c r="S800" s="148"/>
      <c r="T800" s="148"/>
      <c r="U800" s="148"/>
      <c r="V800" s="148"/>
    </row>
    <row r="801" spans="1:22" s="147" customFormat="1" ht="10.5" hidden="1" customHeight="1" x14ac:dyDescent="0.2">
      <c r="A801" s="145"/>
      <c r="B801" s="145"/>
      <c r="C801" s="145"/>
      <c r="D801" s="146"/>
      <c r="H801" s="148"/>
      <c r="I801" s="148"/>
      <c r="J801" s="148"/>
      <c r="K801" s="148"/>
      <c r="L801" s="148"/>
      <c r="M801" s="148"/>
      <c r="N801" s="148"/>
      <c r="O801" s="148"/>
      <c r="P801" s="148"/>
      <c r="Q801" s="148"/>
      <c r="R801" s="148"/>
      <c r="S801" s="148"/>
      <c r="T801" s="148"/>
      <c r="U801" s="148"/>
      <c r="V801" s="148"/>
    </row>
    <row r="802" spans="1:22" s="147" customFormat="1" ht="10.5" hidden="1" customHeight="1" x14ac:dyDescent="0.2">
      <c r="A802" s="145"/>
      <c r="B802" s="145"/>
      <c r="C802" s="145"/>
      <c r="D802" s="146"/>
      <c r="H802" s="148"/>
      <c r="I802" s="148"/>
      <c r="J802" s="148"/>
      <c r="K802" s="148"/>
      <c r="L802" s="148"/>
      <c r="M802" s="148"/>
      <c r="N802" s="148"/>
      <c r="O802" s="148"/>
      <c r="P802" s="148"/>
      <c r="Q802" s="148"/>
      <c r="R802" s="148"/>
      <c r="S802" s="148"/>
      <c r="T802" s="148"/>
      <c r="U802" s="148"/>
      <c r="V802" s="148"/>
    </row>
    <row r="803" spans="1:22" s="147" customFormat="1" ht="10.5" hidden="1" customHeight="1" x14ac:dyDescent="0.2">
      <c r="A803" s="145"/>
      <c r="B803" s="145"/>
      <c r="C803" s="145"/>
      <c r="D803" s="146"/>
      <c r="H803" s="148"/>
      <c r="I803" s="148"/>
      <c r="J803" s="148"/>
      <c r="K803" s="148"/>
      <c r="L803" s="148"/>
      <c r="M803" s="148"/>
      <c r="N803" s="148"/>
      <c r="O803" s="148"/>
      <c r="P803" s="148"/>
      <c r="Q803" s="148"/>
      <c r="R803" s="148"/>
      <c r="S803" s="148"/>
      <c r="T803" s="148"/>
      <c r="U803" s="148"/>
      <c r="V803" s="148"/>
    </row>
    <row r="804" spans="1:22" s="147" customFormat="1" ht="10.5" hidden="1" customHeight="1" x14ac:dyDescent="0.2">
      <c r="A804" s="145"/>
      <c r="B804" s="145"/>
      <c r="C804" s="145"/>
      <c r="D804" s="146"/>
      <c r="H804" s="148"/>
      <c r="I804" s="148"/>
      <c r="J804" s="148"/>
      <c r="K804" s="148"/>
      <c r="L804" s="148"/>
      <c r="M804" s="148"/>
      <c r="N804" s="148"/>
      <c r="O804" s="148"/>
      <c r="P804" s="148"/>
      <c r="Q804" s="148"/>
      <c r="R804" s="148"/>
      <c r="S804" s="148"/>
      <c r="T804" s="148"/>
      <c r="U804" s="148"/>
      <c r="V804" s="148"/>
    </row>
    <row r="805" spans="1:22" s="147" customFormat="1" ht="10.5" hidden="1" customHeight="1" x14ac:dyDescent="0.2">
      <c r="A805" s="145"/>
      <c r="B805" s="145"/>
      <c r="C805" s="145"/>
      <c r="D805" s="146"/>
      <c r="H805" s="148"/>
      <c r="I805" s="148"/>
      <c r="J805" s="148"/>
      <c r="K805" s="148"/>
      <c r="L805" s="148"/>
      <c r="M805" s="148"/>
      <c r="N805" s="148"/>
      <c r="O805" s="148"/>
      <c r="P805" s="148"/>
      <c r="Q805" s="148"/>
      <c r="R805" s="148"/>
      <c r="S805" s="148"/>
      <c r="T805" s="148"/>
      <c r="U805" s="148"/>
      <c r="V805" s="148"/>
    </row>
    <row r="806" spans="1:22" s="147" customFormat="1" ht="10.5" hidden="1" customHeight="1" x14ac:dyDescent="0.2">
      <c r="A806" s="145"/>
      <c r="B806" s="145"/>
      <c r="C806" s="145"/>
      <c r="D806" s="146"/>
      <c r="H806" s="148"/>
      <c r="I806" s="148"/>
      <c r="J806" s="148"/>
      <c r="K806" s="148"/>
      <c r="L806" s="148"/>
      <c r="M806" s="148"/>
      <c r="N806" s="148"/>
      <c r="O806" s="148"/>
      <c r="P806" s="148"/>
      <c r="Q806" s="148"/>
      <c r="R806" s="148"/>
      <c r="S806" s="148"/>
      <c r="T806" s="148"/>
      <c r="U806" s="148"/>
      <c r="V806" s="148"/>
    </row>
    <row r="807" spans="1:22" s="147" customFormat="1" ht="10.5" hidden="1" customHeight="1" x14ac:dyDescent="0.2">
      <c r="A807" s="145"/>
      <c r="B807" s="145"/>
      <c r="C807" s="145"/>
      <c r="D807" s="146"/>
      <c r="H807" s="148"/>
      <c r="I807" s="148"/>
      <c r="J807" s="148"/>
      <c r="K807" s="148"/>
      <c r="L807" s="148"/>
      <c r="M807" s="148"/>
      <c r="N807" s="148"/>
      <c r="O807" s="148"/>
      <c r="P807" s="148"/>
      <c r="Q807" s="148"/>
      <c r="R807" s="148"/>
      <c r="S807" s="148"/>
      <c r="T807" s="148"/>
      <c r="U807" s="148"/>
      <c r="V807" s="148"/>
    </row>
    <row r="808" spans="1:22" s="147" customFormat="1" ht="10.5" hidden="1" customHeight="1" x14ac:dyDescent="0.2">
      <c r="A808" s="145"/>
      <c r="B808" s="145"/>
      <c r="C808" s="145"/>
      <c r="D808" s="146"/>
      <c r="H808" s="148"/>
      <c r="I808" s="148"/>
      <c r="J808" s="148"/>
      <c r="K808" s="148"/>
      <c r="L808" s="148"/>
      <c r="M808" s="148"/>
      <c r="N808" s="148"/>
      <c r="O808" s="148"/>
      <c r="P808" s="148"/>
      <c r="Q808" s="148"/>
      <c r="R808" s="148"/>
      <c r="S808" s="148"/>
      <c r="T808" s="148"/>
      <c r="U808" s="148"/>
      <c r="V808" s="148"/>
    </row>
    <row r="809" spans="1:22" s="147" customFormat="1" ht="10.5" hidden="1" customHeight="1" x14ac:dyDescent="0.2">
      <c r="A809" s="145"/>
      <c r="B809" s="145"/>
      <c r="C809" s="145"/>
      <c r="D809" s="146"/>
      <c r="H809" s="148"/>
      <c r="I809" s="148"/>
      <c r="J809" s="148"/>
      <c r="K809" s="148"/>
      <c r="L809" s="148"/>
      <c r="M809" s="148"/>
      <c r="N809" s="148"/>
      <c r="O809" s="148"/>
      <c r="P809" s="148"/>
      <c r="Q809" s="148"/>
      <c r="R809" s="148"/>
      <c r="S809" s="148"/>
      <c r="T809" s="148"/>
      <c r="U809" s="148"/>
      <c r="V809" s="148"/>
    </row>
    <row r="810" spans="1:22" s="147" customFormat="1" ht="10.5" hidden="1" customHeight="1" x14ac:dyDescent="0.2">
      <c r="A810" s="145"/>
      <c r="B810" s="145"/>
      <c r="C810" s="145"/>
      <c r="D810" s="146"/>
      <c r="H810" s="148"/>
      <c r="I810" s="148"/>
      <c r="J810" s="148"/>
      <c r="K810" s="148"/>
      <c r="L810" s="148"/>
      <c r="M810" s="148"/>
      <c r="N810" s="148"/>
      <c r="O810" s="148"/>
      <c r="P810" s="148"/>
      <c r="Q810" s="148"/>
      <c r="R810" s="148"/>
      <c r="S810" s="148"/>
      <c r="T810" s="148"/>
      <c r="U810" s="148"/>
      <c r="V810" s="148"/>
    </row>
    <row r="811" spans="1:22" s="147" customFormat="1" ht="10.5" hidden="1" customHeight="1" x14ac:dyDescent="0.2">
      <c r="A811" s="145"/>
      <c r="B811" s="145"/>
      <c r="C811" s="145"/>
      <c r="D811" s="146"/>
      <c r="H811" s="148"/>
      <c r="I811" s="148"/>
      <c r="J811" s="148"/>
      <c r="K811" s="148"/>
      <c r="L811" s="148"/>
      <c r="M811" s="148"/>
      <c r="N811" s="148"/>
      <c r="O811" s="148"/>
      <c r="P811" s="148"/>
      <c r="Q811" s="148"/>
      <c r="R811" s="148"/>
      <c r="S811" s="148"/>
      <c r="T811" s="148"/>
      <c r="U811" s="148"/>
      <c r="V811" s="148"/>
    </row>
    <row r="812" spans="1:22" s="147" customFormat="1" ht="10.5" hidden="1" customHeight="1" x14ac:dyDescent="0.2">
      <c r="A812" s="145"/>
      <c r="B812" s="145"/>
      <c r="C812" s="145"/>
      <c r="D812" s="146"/>
      <c r="H812" s="148"/>
      <c r="I812" s="148"/>
      <c r="J812" s="148"/>
      <c r="K812" s="148"/>
      <c r="L812" s="148"/>
      <c r="M812" s="148"/>
      <c r="N812" s="148"/>
      <c r="O812" s="148"/>
      <c r="P812" s="148"/>
      <c r="Q812" s="148"/>
      <c r="R812" s="148"/>
      <c r="S812" s="148"/>
      <c r="T812" s="148"/>
      <c r="U812" s="148"/>
      <c r="V812" s="148"/>
    </row>
    <row r="813" spans="1:22" s="147" customFormat="1" ht="10.5" hidden="1" customHeight="1" x14ac:dyDescent="0.2">
      <c r="A813" s="145"/>
      <c r="B813" s="145"/>
      <c r="C813" s="145"/>
      <c r="D813" s="146"/>
      <c r="H813" s="148"/>
      <c r="I813" s="148"/>
      <c r="J813" s="148"/>
      <c r="K813" s="148"/>
      <c r="L813" s="148"/>
      <c r="M813" s="148"/>
      <c r="N813" s="148"/>
      <c r="O813" s="148"/>
      <c r="P813" s="148"/>
      <c r="Q813" s="148"/>
      <c r="R813" s="148"/>
      <c r="S813" s="148"/>
      <c r="T813" s="148"/>
      <c r="U813" s="148"/>
      <c r="V813" s="148"/>
    </row>
    <row r="814" spans="1:22" s="147" customFormat="1" ht="10.5" hidden="1" customHeight="1" x14ac:dyDescent="0.2">
      <c r="A814" s="145"/>
      <c r="B814" s="145"/>
      <c r="C814" s="145"/>
      <c r="D814" s="146"/>
      <c r="H814" s="148"/>
      <c r="I814" s="148"/>
      <c r="J814" s="148"/>
      <c r="K814" s="148"/>
      <c r="L814" s="148"/>
      <c r="M814" s="148"/>
      <c r="N814" s="148"/>
      <c r="O814" s="148"/>
      <c r="P814" s="148"/>
      <c r="Q814" s="148"/>
      <c r="R814" s="148"/>
      <c r="S814" s="148"/>
      <c r="T814" s="148"/>
      <c r="U814" s="148"/>
      <c r="V814" s="148"/>
    </row>
    <row r="815" spans="1:22" s="147" customFormat="1" ht="10.5" hidden="1" customHeight="1" x14ac:dyDescent="0.2">
      <c r="A815" s="145"/>
      <c r="B815" s="145"/>
      <c r="C815" s="145"/>
      <c r="D815" s="146"/>
      <c r="H815" s="148"/>
      <c r="I815" s="148"/>
      <c r="J815" s="148"/>
      <c r="K815" s="148"/>
      <c r="L815" s="148"/>
      <c r="M815" s="148"/>
      <c r="N815" s="148"/>
      <c r="O815" s="148"/>
      <c r="P815" s="148"/>
      <c r="Q815" s="148"/>
      <c r="R815" s="148"/>
      <c r="S815" s="148"/>
      <c r="T815" s="148"/>
      <c r="U815" s="148"/>
      <c r="V815" s="148"/>
    </row>
    <row r="816" spans="1:22" s="147" customFormat="1" ht="10.5" hidden="1" customHeight="1" x14ac:dyDescent="0.2">
      <c r="A816" s="145"/>
      <c r="B816" s="145"/>
      <c r="C816" s="145"/>
      <c r="D816" s="146"/>
      <c r="H816" s="148"/>
      <c r="I816" s="148"/>
      <c r="J816" s="148"/>
      <c r="K816" s="148"/>
      <c r="L816" s="148"/>
      <c r="M816" s="148"/>
      <c r="N816" s="148"/>
      <c r="O816" s="148"/>
      <c r="P816" s="148"/>
      <c r="Q816" s="148"/>
      <c r="R816" s="148"/>
      <c r="S816" s="148"/>
      <c r="T816" s="148"/>
      <c r="U816" s="148"/>
      <c r="V816" s="148"/>
    </row>
    <row r="817" spans="1:22" s="147" customFormat="1" ht="10.5" hidden="1" customHeight="1" x14ac:dyDescent="0.2">
      <c r="A817" s="145"/>
      <c r="B817" s="145"/>
      <c r="C817" s="145"/>
      <c r="D817" s="146"/>
      <c r="H817" s="148"/>
      <c r="I817" s="148"/>
      <c r="J817" s="148"/>
      <c r="K817" s="148"/>
      <c r="L817" s="148"/>
      <c r="M817" s="148"/>
      <c r="N817" s="148"/>
      <c r="O817" s="148"/>
      <c r="P817" s="148"/>
      <c r="Q817" s="148"/>
      <c r="R817" s="148"/>
      <c r="S817" s="148"/>
      <c r="T817" s="148"/>
      <c r="U817" s="148"/>
      <c r="V817" s="148"/>
    </row>
    <row r="818" spans="1:22" s="147" customFormat="1" ht="10.5" hidden="1" customHeight="1" x14ac:dyDescent="0.2">
      <c r="A818" s="145"/>
      <c r="B818" s="145"/>
      <c r="C818" s="145"/>
      <c r="D818" s="146"/>
      <c r="H818" s="148"/>
      <c r="I818" s="148"/>
      <c r="J818" s="148"/>
      <c r="K818" s="148"/>
      <c r="L818" s="148"/>
      <c r="M818" s="148"/>
      <c r="N818" s="148"/>
      <c r="O818" s="148"/>
      <c r="P818" s="148"/>
      <c r="Q818" s="148"/>
      <c r="R818" s="148"/>
      <c r="S818" s="148"/>
      <c r="T818" s="148"/>
      <c r="U818" s="148"/>
      <c r="V818" s="148"/>
    </row>
    <row r="819" spans="1:22" s="147" customFormat="1" ht="10.5" hidden="1" customHeight="1" x14ac:dyDescent="0.2">
      <c r="A819" s="145"/>
      <c r="B819" s="145"/>
      <c r="C819" s="145"/>
      <c r="D819" s="146"/>
      <c r="H819" s="148"/>
      <c r="I819" s="148"/>
      <c r="J819" s="148"/>
      <c r="K819" s="148"/>
      <c r="L819" s="148"/>
      <c r="M819" s="148"/>
      <c r="N819" s="148"/>
      <c r="O819" s="148"/>
      <c r="P819" s="148"/>
      <c r="Q819" s="148"/>
      <c r="R819" s="148"/>
      <c r="S819" s="148"/>
      <c r="T819" s="148"/>
      <c r="U819" s="148"/>
      <c r="V819" s="148"/>
    </row>
    <row r="820" spans="1:22" s="147" customFormat="1" ht="10.5" hidden="1" customHeight="1" x14ac:dyDescent="0.2">
      <c r="A820" s="145"/>
      <c r="B820" s="145"/>
      <c r="C820" s="145"/>
      <c r="D820" s="146"/>
      <c r="H820" s="148"/>
      <c r="I820" s="148"/>
      <c r="J820" s="148"/>
      <c r="K820" s="148"/>
      <c r="L820" s="148"/>
      <c r="M820" s="148"/>
      <c r="N820" s="148"/>
      <c r="O820" s="148"/>
      <c r="P820" s="148"/>
      <c r="Q820" s="148"/>
      <c r="R820" s="148"/>
      <c r="S820" s="148"/>
      <c r="T820" s="148"/>
      <c r="U820" s="148"/>
      <c r="V820" s="148"/>
    </row>
    <row r="821" spans="1:22" s="147" customFormat="1" ht="10.5" hidden="1" customHeight="1" x14ac:dyDescent="0.2">
      <c r="A821" s="145"/>
      <c r="B821" s="145"/>
      <c r="C821" s="145"/>
      <c r="D821" s="146"/>
      <c r="H821" s="148"/>
      <c r="I821" s="148"/>
      <c r="J821" s="148"/>
      <c r="K821" s="148"/>
      <c r="L821" s="148"/>
      <c r="M821" s="148"/>
      <c r="N821" s="148"/>
      <c r="O821" s="148"/>
      <c r="P821" s="148"/>
      <c r="Q821" s="148"/>
      <c r="R821" s="148"/>
      <c r="S821" s="148"/>
      <c r="T821" s="148"/>
      <c r="U821" s="148"/>
      <c r="V821" s="148"/>
    </row>
    <row r="822" spans="1:22" s="147" customFormat="1" ht="10.5" hidden="1" customHeight="1" x14ac:dyDescent="0.2">
      <c r="A822" s="145"/>
      <c r="B822" s="145"/>
      <c r="C822" s="145"/>
      <c r="D822" s="146"/>
      <c r="H822" s="148"/>
      <c r="I822" s="148"/>
      <c r="J822" s="148"/>
      <c r="K822" s="148"/>
      <c r="L822" s="148"/>
      <c r="M822" s="148"/>
      <c r="N822" s="148"/>
      <c r="O822" s="148"/>
      <c r="P822" s="148"/>
      <c r="Q822" s="148"/>
      <c r="R822" s="148"/>
      <c r="S822" s="148"/>
      <c r="T822" s="148"/>
      <c r="U822" s="148"/>
      <c r="V822" s="148"/>
    </row>
    <row r="823" spans="1:22" s="147" customFormat="1" ht="10.5" hidden="1" customHeight="1" x14ac:dyDescent="0.2">
      <c r="A823" s="145"/>
      <c r="B823" s="145"/>
      <c r="C823" s="145"/>
      <c r="D823" s="146"/>
      <c r="H823" s="148"/>
      <c r="I823" s="148"/>
      <c r="J823" s="148"/>
      <c r="K823" s="148"/>
      <c r="L823" s="148"/>
      <c r="M823" s="148"/>
      <c r="N823" s="148"/>
      <c r="O823" s="148"/>
      <c r="P823" s="148"/>
      <c r="Q823" s="148"/>
      <c r="R823" s="148"/>
      <c r="S823" s="148"/>
      <c r="T823" s="148"/>
      <c r="U823" s="148"/>
      <c r="V823" s="148"/>
    </row>
    <row r="824" spans="1:22" s="147" customFormat="1" ht="10.5" hidden="1" customHeight="1" x14ac:dyDescent="0.2">
      <c r="A824" s="145"/>
      <c r="B824" s="145"/>
      <c r="C824" s="145"/>
      <c r="D824" s="146"/>
      <c r="H824" s="148"/>
      <c r="I824" s="148"/>
      <c r="J824" s="148"/>
      <c r="K824" s="148"/>
      <c r="L824" s="148"/>
      <c r="M824" s="148"/>
      <c r="N824" s="148"/>
      <c r="O824" s="148"/>
      <c r="P824" s="148"/>
      <c r="Q824" s="148"/>
      <c r="R824" s="148"/>
      <c r="S824" s="148"/>
      <c r="T824" s="148"/>
      <c r="U824" s="148"/>
      <c r="V824" s="148"/>
    </row>
    <row r="825" spans="1:22" s="147" customFormat="1" ht="10.5" hidden="1" customHeight="1" x14ac:dyDescent="0.2">
      <c r="A825" s="145"/>
      <c r="B825" s="145"/>
      <c r="C825" s="145"/>
      <c r="D825" s="146"/>
      <c r="H825" s="148"/>
      <c r="I825" s="148"/>
      <c r="J825" s="148"/>
      <c r="K825" s="148"/>
      <c r="L825" s="148"/>
      <c r="M825" s="148"/>
      <c r="N825" s="148"/>
      <c r="O825" s="148"/>
      <c r="P825" s="148"/>
      <c r="Q825" s="148"/>
      <c r="R825" s="148"/>
      <c r="S825" s="148"/>
      <c r="T825" s="148"/>
      <c r="U825" s="148"/>
      <c r="V825" s="148"/>
    </row>
    <row r="826" spans="1:22" s="147" customFormat="1" ht="10.5" hidden="1" customHeight="1" x14ac:dyDescent="0.2">
      <c r="A826" s="145"/>
      <c r="B826" s="145"/>
      <c r="C826" s="145"/>
      <c r="D826" s="146"/>
      <c r="H826" s="148"/>
      <c r="I826" s="148"/>
      <c r="J826" s="148"/>
      <c r="K826" s="148"/>
      <c r="L826" s="148"/>
      <c r="M826" s="148"/>
      <c r="N826" s="148"/>
      <c r="O826" s="148"/>
      <c r="P826" s="148"/>
      <c r="Q826" s="148"/>
      <c r="R826" s="148"/>
      <c r="S826" s="148"/>
      <c r="T826" s="148"/>
      <c r="U826" s="148"/>
      <c r="V826" s="148"/>
    </row>
    <row r="827" spans="1:22" s="147" customFormat="1" ht="10.5" hidden="1" customHeight="1" x14ac:dyDescent="0.2">
      <c r="A827" s="145"/>
      <c r="B827" s="145"/>
      <c r="C827" s="145"/>
      <c r="D827" s="146"/>
      <c r="H827" s="148"/>
      <c r="I827" s="148"/>
      <c r="J827" s="148"/>
      <c r="K827" s="148"/>
      <c r="L827" s="148"/>
      <c r="M827" s="148"/>
      <c r="N827" s="148"/>
      <c r="O827" s="148"/>
      <c r="P827" s="148"/>
      <c r="Q827" s="148"/>
      <c r="R827" s="148"/>
      <c r="S827" s="148"/>
      <c r="T827" s="148"/>
      <c r="U827" s="148"/>
      <c r="V827" s="148"/>
    </row>
    <row r="828" spans="1:22" s="147" customFormat="1" ht="10.5" hidden="1" customHeight="1" x14ac:dyDescent="0.2">
      <c r="A828" s="145"/>
      <c r="B828" s="145"/>
      <c r="C828" s="145"/>
      <c r="D828" s="146"/>
      <c r="H828" s="148"/>
      <c r="I828" s="148"/>
      <c r="J828" s="148"/>
      <c r="K828" s="148"/>
      <c r="L828" s="148"/>
      <c r="M828" s="148"/>
      <c r="N828" s="148"/>
      <c r="O828" s="148"/>
      <c r="P828" s="148"/>
      <c r="Q828" s="148"/>
      <c r="R828" s="148"/>
      <c r="S828" s="148"/>
      <c r="T828" s="148"/>
      <c r="U828" s="148"/>
      <c r="V828" s="148"/>
    </row>
    <row r="829" spans="1:22" s="147" customFormat="1" ht="10.5" hidden="1" customHeight="1" x14ac:dyDescent="0.2">
      <c r="A829" s="145"/>
      <c r="B829" s="145"/>
      <c r="C829" s="145"/>
      <c r="D829" s="146"/>
      <c r="H829" s="148"/>
      <c r="I829" s="148"/>
      <c r="J829" s="148"/>
      <c r="K829" s="148"/>
      <c r="L829" s="148"/>
      <c r="M829" s="148"/>
      <c r="N829" s="148"/>
      <c r="O829" s="148"/>
      <c r="P829" s="148"/>
      <c r="Q829" s="148"/>
      <c r="R829" s="148"/>
      <c r="S829" s="148"/>
      <c r="T829" s="148"/>
      <c r="U829" s="148"/>
      <c r="V829" s="148"/>
    </row>
    <row r="830" spans="1:22" s="147" customFormat="1" ht="10.5" hidden="1" customHeight="1" x14ac:dyDescent="0.2">
      <c r="A830" s="145"/>
      <c r="B830" s="145"/>
      <c r="C830" s="145"/>
      <c r="D830" s="146"/>
      <c r="H830" s="148"/>
      <c r="I830" s="148"/>
      <c r="J830" s="148"/>
      <c r="K830" s="148"/>
      <c r="L830" s="148"/>
      <c r="M830" s="148"/>
      <c r="N830" s="148"/>
      <c r="O830" s="148"/>
      <c r="P830" s="148"/>
      <c r="Q830" s="148"/>
      <c r="R830" s="148"/>
      <c r="S830" s="148"/>
      <c r="T830" s="148"/>
      <c r="U830" s="148"/>
      <c r="V830" s="148"/>
    </row>
    <row r="831" spans="1:22" s="147" customFormat="1" ht="10.5" hidden="1" customHeight="1" x14ac:dyDescent="0.2">
      <c r="A831" s="145"/>
      <c r="B831" s="145"/>
      <c r="C831" s="145"/>
      <c r="D831" s="146"/>
      <c r="H831" s="148"/>
      <c r="I831" s="148"/>
      <c r="J831" s="148"/>
      <c r="K831" s="148"/>
      <c r="L831" s="148"/>
      <c r="M831" s="148"/>
      <c r="N831" s="148"/>
      <c r="O831" s="148"/>
      <c r="P831" s="148"/>
      <c r="Q831" s="148"/>
      <c r="R831" s="148"/>
      <c r="S831" s="148"/>
      <c r="T831" s="148"/>
      <c r="U831" s="148"/>
      <c r="V831" s="148"/>
    </row>
    <row r="832" spans="1:22" s="147" customFormat="1" ht="10.5" hidden="1" customHeight="1" x14ac:dyDescent="0.2">
      <c r="A832" s="145"/>
      <c r="B832" s="145"/>
      <c r="C832" s="145"/>
      <c r="D832" s="146"/>
      <c r="H832" s="148"/>
      <c r="I832" s="148"/>
      <c r="J832" s="148"/>
      <c r="K832" s="148"/>
      <c r="L832" s="148"/>
      <c r="M832" s="148"/>
      <c r="N832" s="148"/>
      <c r="O832" s="148"/>
      <c r="P832" s="148"/>
      <c r="Q832" s="148"/>
      <c r="R832" s="148"/>
      <c r="S832" s="148"/>
      <c r="T832" s="148"/>
      <c r="U832" s="148"/>
      <c r="V832" s="148"/>
    </row>
    <row r="833" spans="1:22" s="147" customFormat="1" ht="10.5" hidden="1" customHeight="1" x14ac:dyDescent="0.2">
      <c r="A833" s="145"/>
      <c r="B833" s="145"/>
      <c r="C833" s="145"/>
      <c r="D833" s="146"/>
      <c r="H833" s="148"/>
      <c r="I833" s="148"/>
      <c r="J833" s="148"/>
      <c r="K833" s="148"/>
      <c r="L833" s="148"/>
      <c r="M833" s="148"/>
      <c r="N833" s="148"/>
      <c r="O833" s="148"/>
      <c r="P833" s="148"/>
      <c r="Q833" s="148"/>
      <c r="R833" s="148"/>
      <c r="S833" s="148"/>
      <c r="T833" s="148"/>
      <c r="U833" s="148"/>
      <c r="V833" s="148"/>
    </row>
    <row r="834" spans="1:22" s="147" customFormat="1" ht="10.5" hidden="1" customHeight="1" x14ac:dyDescent="0.2">
      <c r="A834" s="145"/>
      <c r="B834" s="145"/>
      <c r="C834" s="145"/>
      <c r="D834" s="146"/>
      <c r="H834" s="148"/>
      <c r="I834" s="148"/>
      <c r="J834" s="148"/>
      <c r="K834" s="148"/>
      <c r="L834" s="148"/>
      <c r="M834" s="148"/>
      <c r="N834" s="148"/>
      <c r="O834" s="148"/>
      <c r="P834" s="148"/>
      <c r="Q834" s="148"/>
      <c r="R834" s="148"/>
      <c r="S834" s="148"/>
      <c r="T834" s="148"/>
      <c r="U834" s="148"/>
      <c r="V834" s="148"/>
    </row>
    <row r="835" spans="1:22" s="147" customFormat="1" ht="10.5" hidden="1" customHeight="1" x14ac:dyDescent="0.2">
      <c r="A835" s="145"/>
      <c r="B835" s="145"/>
      <c r="C835" s="145"/>
      <c r="D835" s="146"/>
      <c r="H835" s="148"/>
      <c r="I835" s="148"/>
      <c r="J835" s="148"/>
      <c r="K835" s="148"/>
      <c r="L835" s="148"/>
      <c r="M835" s="148"/>
      <c r="N835" s="148"/>
      <c r="O835" s="148"/>
      <c r="P835" s="148"/>
      <c r="Q835" s="148"/>
      <c r="R835" s="148"/>
      <c r="S835" s="148"/>
      <c r="T835" s="148"/>
      <c r="U835" s="148"/>
      <c r="V835" s="148"/>
    </row>
    <row r="836" spans="1:22" s="147" customFormat="1" ht="10.5" hidden="1" customHeight="1" x14ac:dyDescent="0.2">
      <c r="A836" s="145"/>
      <c r="B836" s="145"/>
      <c r="C836" s="145"/>
      <c r="D836" s="146"/>
      <c r="H836" s="148"/>
      <c r="I836" s="148"/>
      <c r="J836" s="148"/>
      <c r="K836" s="148"/>
      <c r="L836" s="148"/>
      <c r="M836" s="148"/>
      <c r="N836" s="148"/>
      <c r="O836" s="148"/>
      <c r="P836" s="148"/>
      <c r="Q836" s="148"/>
      <c r="R836" s="148"/>
      <c r="S836" s="148"/>
      <c r="T836" s="148"/>
      <c r="U836" s="148"/>
      <c r="V836" s="148"/>
    </row>
    <row r="837" spans="1:22" s="147" customFormat="1" ht="10.5" hidden="1" customHeight="1" x14ac:dyDescent="0.2">
      <c r="A837" s="145"/>
      <c r="B837" s="145"/>
      <c r="C837" s="145"/>
      <c r="D837" s="146"/>
      <c r="H837" s="148"/>
      <c r="I837" s="148"/>
      <c r="J837" s="148"/>
      <c r="K837" s="148"/>
      <c r="L837" s="148"/>
      <c r="M837" s="148"/>
      <c r="N837" s="148"/>
      <c r="O837" s="148"/>
      <c r="P837" s="148"/>
      <c r="Q837" s="148"/>
      <c r="R837" s="148"/>
      <c r="S837" s="148"/>
      <c r="T837" s="148"/>
      <c r="U837" s="148"/>
      <c r="V837" s="148"/>
    </row>
    <row r="838" spans="1:22" s="147" customFormat="1" ht="10.5" hidden="1" customHeight="1" x14ac:dyDescent="0.2">
      <c r="A838" s="145"/>
      <c r="B838" s="145"/>
      <c r="C838" s="145"/>
      <c r="D838" s="146"/>
      <c r="H838" s="148"/>
      <c r="I838" s="148"/>
      <c r="J838" s="148"/>
      <c r="K838" s="148"/>
      <c r="L838" s="148"/>
      <c r="M838" s="148"/>
      <c r="N838" s="148"/>
      <c r="O838" s="148"/>
      <c r="P838" s="148"/>
      <c r="Q838" s="148"/>
      <c r="R838" s="148"/>
      <c r="S838" s="148"/>
      <c r="T838" s="148"/>
      <c r="U838" s="148"/>
      <c r="V838" s="148"/>
    </row>
    <row r="839" spans="1:22" s="147" customFormat="1" ht="10.5" hidden="1" customHeight="1" x14ac:dyDescent="0.2">
      <c r="A839" s="145"/>
      <c r="B839" s="145"/>
      <c r="C839" s="145"/>
      <c r="D839" s="146"/>
      <c r="H839" s="148"/>
      <c r="I839" s="148"/>
      <c r="J839" s="148"/>
      <c r="K839" s="148"/>
      <c r="L839" s="148"/>
      <c r="M839" s="148"/>
      <c r="N839" s="148"/>
      <c r="O839" s="148"/>
      <c r="P839" s="148"/>
      <c r="Q839" s="148"/>
      <c r="R839" s="148"/>
      <c r="S839" s="148"/>
      <c r="T839" s="148"/>
      <c r="U839" s="148"/>
      <c r="V839" s="148"/>
    </row>
    <row r="840" spans="1:22" s="147" customFormat="1" ht="10.5" hidden="1" customHeight="1" x14ac:dyDescent="0.2">
      <c r="A840" s="145"/>
      <c r="B840" s="145"/>
      <c r="C840" s="145"/>
      <c r="D840" s="146"/>
      <c r="H840" s="148"/>
      <c r="I840" s="148"/>
      <c r="J840" s="148"/>
      <c r="K840" s="148"/>
      <c r="L840" s="148"/>
      <c r="M840" s="148"/>
      <c r="N840" s="148"/>
      <c r="O840" s="148"/>
      <c r="P840" s="148"/>
      <c r="Q840" s="148"/>
      <c r="R840" s="148"/>
      <c r="S840" s="148"/>
      <c r="T840" s="148"/>
      <c r="U840" s="148"/>
      <c r="V840" s="148"/>
    </row>
    <row r="841" spans="1:22" s="147" customFormat="1" ht="10.5" hidden="1" customHeight="1" x14ac:dyDescent="0.2">
      <c r="A841" s="145"/>
      <c r="B841" s="145"/>
      <c r="C841" s="145"/>
      <c r="D841" s="146"/>
      <c r="H841" s="148"/>
      <c r="I841" s="148"/>
      <c r="J841" s="148"/>
      <c r="K841" s="148"/>
      <c r="L841" s="148"/>
      <c r="M841" s="148"/>
      <c r="N841" s="148"/>
      <c r="O841" s="148"/>
      <c r="P841" s="148"/>
      <c r="Q841" s="148"/>
      <c r="R841" s="148"/>
      <c r="S841" s="148"/>
      <c r="T841" s="148"/>
      <c r="U841" s="148"/>
      <c r="V841" s="148"/>
    </row>
    <row r="842" spans="1:22" s="147" customFormat="1" ht="10.5" hidden="1" customHeight="1" x14ac:dyDescent="0.2">
      <c r="A842" s="145"/>
      <c r="B842" s="145"/>
      <c r="C842" s="145"/>
      <c r="D842" s="146"/>
      <c r="H842" s="148"/>
      <c r="I842" s="148"/>
      <c r="J842" s="148"/>
      <c r="K842" s="148"/>
      <c r="L842" s="148"/>
      <c r="M842" s="148"/>
      <c r="N842" s="148"/>
      <c r="O842" s="148"/>
      <c r="P842" s="148"/>
      <c r="Q842" s="148"/>
      <c r="R842" s="148"/>
      <c r="S842" s="148"/>
      <c r="T842" s="148"/>
      <c r="U842" s="148"/>
      <c r="V842" s="148"/>
    </row>
    <row r="843" spans="1:22" s="147" customFormat="1" ht="10.5" hidden="1" customHeight="1" x14ac:dyDescent="0.2">
      <c r="A843" s="145"/>
      <c r="B843" s="145"/>
      <c r="C843" s="145"/>
      <c r="D843" s="146"/>
      <c r="H843" s="148"/>
      <c r="I843" s="148"/>
      <c r="J843" s="148"/>
      <c r="K843" s="148"/>
      <c r="L843" s="148"/>
      <c r="M843" s="148"/>
      <c r="N843" s="148"/>
      <c r="O843" s="148"/>
      <c r="P843" s="148"/>
      <c r="Q843" s="148"/>
      <c r="R843" s="148"/>
      <c r="S843" s="148"/>
      <c r="T843" s="148"/>
      <c r="U843" s="148"/>
      <c r="V843" s="148"/>
    </row>
    <row r="844" spans="1:22" s="147" customFormat="1" ht="10.5" hidden="1" customHeight="1" x14ac:dyDescent="0.2">
      <c r="A844" s="145"/>
      <c r="B844" s="145"/>
      <c r="C844" s="145"/>
      <c r="D844" s="146"/>
      <c r="H844" s="148"/>
      <c r="I844" s="148"/>
      <c r="J844" s="148"/>
      <c r="K844" s="148"/>
      <c r="L844" s="148"/>
      <c r="M844" s="148"/>
      <c r="N844" s="148"/>
      <c r="O844" s="148"/>
      <c r="P844" s="148"/>
      <c r="Q844" s="148"/>
      <c r="R844" s="148"/>
      <c r="S844" s="148"/>
      <c r="T844" s="148"/>
      <c r="U844" s="148"/>
      <c r="V844" s="148"/>
    </row>
    <row r="845" spans="1:22" s="147" customFormat="1" ht="10.5" hidden="1" customHeight="1" x14ac:dyDescent="0.2">
      <c r="A845" s="145"/>
      <c r="B845" s="145"/>
      <c r="C845" s="145"/>
      <c r="D845" s="146"/>
      <c r="H845" s="148"/>
      <c r="I845" s="148"/>
      <c r="J845" s="148"/>
      <c r="K845" s="148"/>
      <c r="L845" s="148"/>
      <c r="M845" s="148"/>
      <c r="N845" s="148"/>
      <c r="O845" s="148"/>
      <c r="P845" s="148"/>
      <c r="Q845" s="148"/>
      <c r="R845" s="148"/>
      <c r="S845" s="148"/>
      <c r="T845" s="148"/>
      <c r="U845" s="148"/>
      <c r="V845" s="148"/>
    </row>
    <row r="846" spans="1:22" s="147" customFormat="1" ht="10.5" hidden="1" customHeight="1" x14ac:dyDescent="0.2">
      <c r="A846" s="145"/>
      <c r="B846" s="145"/>
      <c r="C846" s="145"/>
      <c r="D846" s="146"/>
      <c r="H846" s="148"/>
      <c r="I846" s="148"/>
      <c r="J846" s="148"/>
      <c r="K846" s="148"/>
      <c r="L846" s="148"/>
      <c r="M846" s="148"/>
      <c r="N846" s="148"/>
      <c r="O846" s="148"/>
      <c r="P846" s="148"/>
      <c r="Q846" s="148"/>
      <c r="R846" s="148"/>
      <c r="S846" s="148"/>
      <c r="T846" s="148"/>
      <c r="U846" s="148"/>
      <c r="V846" s="148"/>
    </row>
    <row r="847" spans="1:22" s="147" customFormat="1" ht="10.5" hidden="1" customHeight="1" x14ac:dyDescent="0.2">
      <c r="A847" s="145"/>
      <c r="B847" s="145"/>
      <c r="C847" s="145"/>
      <c r="D847" s="146"/>
      <c r="H847" s="148"/>
      <c r="I847" s="148"/>
      <c r="J847" s="148"/>
      <c r="K847" s="148"/>
      <c r="L847" s="148"/>
      <c r="M847" s="148"/>
      <c r="N847" s="148"/>
      <c r="O847" s="148"/>
      <c r="P847" s="148"/>
      <c r="Q847" s="148"/>
      <c r="R847" s="148"/>
      <c r="S847" s="148"/>
      <c r="T847" s="148"/>
      <c r="U847" s="148"/>
      <c r="V847" s="148"/>
    </row>
    <row r="848" spans="1:22" s="147" customFormat="1" ht="10.5" hidden="1" customHeight="1" x14ac:dyDescent="0.2">
      <c r="A848" s="145"/>
      <c r="B848" s="145"/>
      <c r="C848" s="145"/>
      <c r="D848" s="146"/>
      <c r="H848" s="148"/>
      <c r="I848" s="148"/>
      <c r="J848" s="148"/>
      <c r="K848" s="148"/>
      <c r="L848" s="148"/>
      <c r="M848" s="148"/>
      <c r="N848" s="148"/>
      <c r="O848" s="148"/>
      <c r="P848" s="148"/>
      <c r="Q848" s="148"/>
      <c r="R848" s="148"/>
      <c r="S848" s="148"/>
      <c r="T848" s="148"/>
      <c r="U848" s="148"/>
      <c r="V848" s="148"/>
    </row>
    <row r="849" spans="1:22" s="147" customFormat="1" ht="10.5" hidden="1" customHeight="1" x14ac:dyDescent="0.2">
      <c r="A849" s="145"/>
      <c r="B849" s="145"/>
      <c r="C849" s="145"/>
      <c r="D849" s="146"/>
      <c r="H849" s="148"/>
      <c r="I849" s="148"/>
      <c r="J849" s="148"/>
      <c r="K849" s="148"/>
      <c r="L849" s="148"/>
      <c r="M849" s="148"/>
      <c r="N849" s="148"/>
      <c r="O849" s="148"/>
      <c r="P849" s="148"/>
      <c r="Q849" s="148"/>
      <c r="R849" s="148"/>
      <c r="S849" s="148"/>
      <c r="T849" s="148"/>
      <c r="U849" s="148"/>
      <c r="V849" s="148"/>
    </row>
    <row r="850" spans="1:22" s="147" customFormat="1" ht="10.5" hidden="1" customHeight="1" x14ac:dyDescent="0.2">
      <c r="A850" s="145"/>
      <c r="B850" s="145"/>
      <c r="C850" s="145"/>
      <c r="D850" s="146"/>
      <c r="H850" s="148"/>
      <c r="I850" s="148"/>
      <c r="J850" s="148"/>
      <c r="K850" s="148"/>
      <c r="L850" s="148"/>
      <c r="M850" s="148"/>
      <c r="N850" s="148"/>
      <c r="O850" s="148"/>
      <c r="P850" s="148"/>
      <c r="Q850" s="148"/>
      <c r="R850" s="148"/>
      <c r="S850" s="148"/>
      <c r="T850" s="148"/>
      <c r="U850" s="148"/>
      <c r="V850" s="148"/>
    </row>
    <row r="851" spans="1:22" s="147" customFormat="1" ht="10.5" hidden="1" customHeight="1" x14ac:dyDescent="0.2">
      <c r="A851" s="145"/>
      <c r="B851" s="145"/>
      <c r="C851" s="145"/>
      <c r="D851" s="146"/>
      <c r="H851" s="148"/>
      <c r="I851" s="148"/>
      <c r="J851" s="148"/>
      <c r="K851" s="148"/>
      <c r="L851" s="148"/>
      <c r="M851" s="148"/>
      <c r="N851" s="148"/>
      <c r="O851" s="148"/>
      <c r="P851" s="148"/>
      <c r="Q851" s="148"/>
      <c r="R851" s="148"/>
      <c r="S851" s="148"/>
      <c r="T851" s="148"/>
      <c r="U851" s="148"/>
      <c r="V851" s="148"/>
    </row>
    <row r="852" spans="1:22" s="147" customFormat="1" ht="10.5" hidden="1" customHeight="1" x14ac:dyDescent="0.2">
      <c r="A852" s="145"/>
      <c r="B852" s="145"/>
      <c r="C852" s="145"/>
      <c r="D852" s="146"/>
      <c r="H852" s="148"/>
      <c r="I852" s="148"/>
      <c r="J852" s="148"/>
      <c r="K852" s="148"/>
      <c r="L852" s="148"/>
      <c r="M852" s="148"/>
      <c r="N852" s="148"/>
      <c r="O852" s="148"/>
      <c r="P852" s="148"/>
      <c r="Q852" s="148"/>
      <c r="R852" s="148"/>
      <c r="S852" s="148"/>
      <c r="T852" s="148"/>
      <c r="U852" s="148"/>
      <c r="V852" s="148"/>
    </row>
    <row r="853" spans="1:22" s="147" customFormat="1" ht="10.5" hidden="1" customHeight="1" x14ac:dyDescent="0.2">
      <c r="A853" s="145"/>
      <c r="B853" s="145"/>
      <c r="C853" s="145"/>
      <c r="D853" s="146"/>
      <c r="H853" s="148"/>
      <c r="I853" s="148"/>
      <c r="J853" s="148"/>
      <c r="K853" s="148"/>
      <c r="L853" s="148"/>
      <c r="M853" s="148"/>
      <c r="N853" s="148"/>
      <c r="O853" s="148"/>
      <c r="P853" s="148"/>
      <c r="Q853" s="148"/>
      <c r="R853" s="148"/>
      <c r="S853" s="148"/>
      <c r="T853" s="148"/>
      <c r="U853" s="148"/>
      <c r="V853" s="148"/>
    </row>
    <row r="854" spans="1:22" s="147" customFormat="1" ht="10.5" hidden="1" customHeight="1" x14ac:dyDescent="0.2">
      <c r="A854" s="145"/>
      <c r="B854" s="145"/>
      <c r="C854" s="145"/>
      <c r="D854" s="146"/>
      <c r="H854" s="148"/>
      <c r="I854" s="148"/>
      <c r="J854" s="148"/>
      <c r="K854" s="148"/>
      <c r="L854" s="148"/>
      <c r="M854" s="148"/>
      <c r="N854" s="148"/>
      <c r="O854" s="148"/>
      <c r="P854" s="148"/>
      <c r="Q854" s="148"/>
      <c r="R854" s="148"/>
      <c r="S854" s="148"/>
      <c r="T854" s="148"/>
      <c r="U854" s="148"/>
      <c r="V854" s="148"/>
    </row>
    <row r="855" spans="1:22" s="147" customFormat="1" ht="10.5" hidden="1" customHeight="1" x14ac:dyDescent="0.2">
      <c r="A855" s="145"/>
      <c r="B855" s="145"/>
      <c r="C855" s="145"/>
      <c r="D855" s="146"/>
      <c r="H855" s="148"/>
      <c r="I855" s="148"/>
      <c r="J855" s="148"/>
      <c r="K855" s="148"/>
      <c r="L855" s="148"/>
      <c r="M855" s="148"/>
      <c r="N855" s="148"/>
      <c r="O855" s="148"/>
      <c r="P855" s="148"/>
      <c r="Q855" s="148"/>
      <c r="R855" s="148"/>
      <c r="S855" s="148"/>
      <c r="T855" s="148"/>
      <c r="U855" s="148"/>
      <c r="V855" s="148"/>
    </row>
    <row r="856" spans="1:22" s="147" customFormat="1" ht="10.5" hidden="1" customHeight="1" x14ac:dyDescent="0.2">
      <c r="A856" s="145"/>
      <c r="B856" s="145"/>
      <c r="C856" s="145"/>
      <c r="D856" s="146"/>
      <c r="H856" s="148"/>
      <c r="I856" s="148"/>
      <c r="J856" s="148"/>
      <c r="K856" s="148"/>
      <c r="L856" s="148"/>
      <c r="M856" s="148"/>
      <c r="N856" s="148"/>
      <c r="O856" s="148"/>
      <c r="P856" s="148"/>
      <c r="Q856" s="148"/>
      <c r="R856" s="148"/>
      <c r="S856" s="148"/>
      <c r="T856" s="148"/>
      <c r="U856" s="148"/>
      <c r="V856" s="148"/>
    </row>
    <row r="857" spans="1:22" s="147" customFormat="1" ht="10.5" hidden="1" customHeight="1" x14ac:dyDescent="0.2">
      <c r="A857" s="145"/>
      <c r="B857" s="145"/>
      <c r="C857" s="145"/>
      <c r="D857" s="146"/>
      <c r="H857" s="148"/>
      <c r="I857" s="148"/>
      <c r="J857" s="148"/>
      <c r="K857" s="148"/>
      <c r="L857" s="148"/>
      <c r="M857" s="148"/>
      <c r="N857" s="148"/>
      <c r="O857" s="148"/>
      <c r="P857" s="148"/>
      <c r="Q857" s="148"/>
      <c r="R857" s="148"/>
      <c r="S857" s="148"/>
      <c r="T857" s="148"/>
      <c r="U857" s="148"/>
      <c r="V857" s="148"/>
    </row>
    <row r="858" spans="1:22" s="147" customFormat="1" ht="10.5" hidden="1" customHeight="1" x14ac:dyDescent="0.2">
      <c r="A858" s="145"/>
      <c r="B858" s="145"/>
      <c r="C858" s="145"/>
      <c r="D858" s="146"/>
      <c r="H858" s="148"/>
      <c r="I858" s="148"/>
      <c r="J858" s="148"/>
      <c r="K858" s="148"/>
      <c r="L858" s="148"/>
      <c r="M858" s="148"/>
      <c r="N858" s="148"/>
      <c r="O858" s="148"/>
      <c r="P858" s="148"/>
      <c r="Q858" s="148"/>
      <c r="R858" s="148"/>
      <c r="S858" s="148"/>
      <c r="T858" s="148"/>
      <c r="U858" s="148"/>
      <c r="V858" s="148"/>
    </row>
    <row r="859" spans="1:22" s="147" customFormat="1" ht="10.5" hidden="1" customHeight="1" x14ac:dyDescent="0.2">
      <c r="A859" s="145"/>
      <c r="B859" s="145"/>
      <c r="C859" s="145"/>
      <c r="D859" s="146"/>
      <c r="H859" s="148"/>
      <c r="I859" s="148"/>
      <c r="J859" s="148"/>
      <c r="K859" s="148"/>
      <c r="L859" s="148"/>
      <c r="M859" s="148"/>
      <c r="N859" s="148"/>
      <c r="O859" s="148"/>
      <c r="P859" s="148"/>
      <c r="Q859" s="148"/>
      <c r="R859" s="148"/>
      <c r="S859" s="148"/>
      <c r="T859" s="148"/>
      <c r="U859" s="148"/>
      <c r="V859" s="148"/>
    </row>
    <row r="860" spans="1:22" s="147" customFormat="1" ht="10.5" hidden="1" customHeight="1" x14ac:dyDescent="0.2">
      <c r="A860" s="145"/>
      <c r="B860" s="145"/>
      <c r="C860" s="145"/>
      <c r="D860" s="146"/>
      <c r="H860" s="148"/>
      <c r="I860" s="148"/>
      <c r="J860" s="148"/>
      <c r="K860" s="148"/>
      <c r="L860" s="148"/>
      <c r="M860" s="148"/>
      <c r="N860" s="148"/>
      <c r="O860" s="148"/>
      <c r="P860" s="148"/>
      <c r="Q860" s="148"/>
      <c r="R860" s="148"/>
      <c r="S860" s="148"/>
      <c r="T860" s="148"/>
      <c r="U860" s="148"/>
      <c r="V860" s="148"/>
    </row>
    <row r="861" spans="1:22" s="147" customFormat="1" ht="10.5" hidden="1" customHeight="1" x14ac:dyDescent="0.2">
      <c r="A861" s="145"/>
      <c r="B861" s="145"/>
      <c r="C861" s="145"/>
      <c r="D861" s="146"/>
      <c r="H861" s="148"/>
      <c r="I861" s="148"/>
      <c r="J861" s="148"/>
      <c r="K861" s="148"/>
      <c r="L861" s="148"/>
      <c r="M861" s="148"/>
      <c r="N861" s="148"/>
      <c r="O861" s="148"/>
      <c r="P861" s="148"/>
      <c r="Q861" s="148"/>
      <c r="R861" s="148"/>
      <c r="S861" s="148"/>
      <c r="T861" s="148"/>
      <c r="U861" s="148"/>
      <c r="V861" s="148"/>
    </row>
    <row r="862" spans="1:22" s="147" customFormat="1" ht="10.5" hidden="1" customHeight="1" x14ac:dyDescent="0.2">
      <c r="A862" s="145"/>
      <c r="B862" s="145"/>
      <c r="C862" s="145"/>
      <c r="D862" s="146"/>
      <c r="H862" s="148"/>
      <c r="I862" s="148"/>
      <c r="J862" s="148"/>
      <c r="K862" s="148"/>
      <c r="L862" s="148"/>
      <c r="M862" s="148"/>
      <c r="N862" s="148"/>
      <c r="O862" s="148"/>
      <c r="P862" s="148"/>
      <c r="Q862" s="148"/>
      <c r="R862" s="148"/>
      <c r="S862" s="148"/>
      <c r="T862" s="148"/>
      <c r="U862" s="148"/>
      <c r="V862" s="148"/>
    </row>
    <row r="863" spans="1:22" s="147" customFormat="1" ht="10.5" hidden="1" customHeight="1" x14ac:dyDescent="0.2">
      <c r="A863" s="145"/>
      <c r="B863" s="145"/>
      <c r="C863" s="145"/>
      <c r="D863" s="146"/>
      <c r="H863" s="148"/>
      <c r="I863" s="148"/>
      <c r="J863" s="148"/>
      <c r="K863" s="148"/>
      <c r="L863" s="148"/>
      <c r="M863" s="148"/>
      <c r="N863" s="148"/>
      <c r="O863" s="148"/>
      <c r="P863" s="148"/>
      <c r="Q863" s="148"/>
      <c r="R863" s="148"/>
      <c r="S863" s="148"/>
      <c r="T863" s="148"/>
      <c r="U863" s="148"/>
      <c r="V863" s="148"/>
    </row>
    <row r="864" spans="1:22" s="147" customFormat="1" ht="10.5" hidden="1" customHeight="1" x14ac:dyDescent="0.2">
      <c r="A864" s="145"/>
      <c r="B864" s="145"/>
      <c r="C864" s="145"/>
      <c r="D864" s="146"/>
      <c r="H864" s="148"/>
      <c r="I864" s="148"/>
      <c r="J864" s="148"/>
      <c r="K864" s="148"/>
      <c r="L864" s="148"/>
      <c r="M864" s="148"/>
      <c r="N864" s="148"/>
      <c r="O864" s="148"/>
      <c r="P864" s="148"/>
      <c r="Q864" s="148"/>
      <c r="R864" s="148"/>
      <c r="S864" s="148"/>
      <c r="T864" s="148"/>
      <c r="U864" s="148"/>
      <c r="V864" s="148"/>
    </row>
    <row r="865" spans="1:22" s="147" customFormat="1" ht="10.5" hidden="1" customHeight="1" x14ac:dyDescent="0.2">
      <c r="A865" s="145"/>
      <c r="B865" s="145"/>
      <c r="C865" s="145"/>
      <c r="D865" s="146"/>
      <c r="H865" s="148"/>
      <c r="I865" s="148"/>
      <c r="J865" s="148"/>
      <c r="K865" s="148"/>
      <c r="L865" s="148"/>
      <c r="M865" s="148"/>
      <c r="N865" s="148"/>
      <c r="O865" s="148"/>
      <c r="P865" s="148"/>
      <c r="Q865" s="148"/>
      <c r="R865" s="148"/>
      <c r="S865" s="148"/>
      <c r="T865" s="148"/>
      <c r="U865" s="148"/>
      <c r="V865" s="148"/>
    </row>
    <row r="866" spans="1:22" s="147" customFormat="1" ht="10.5" hidden="1" customHeight="1" x14ac:dyDescent="0.2">
      <c r="A866" s="145"/>
      <c r="B866" s="145"/>
      <c r="C866" s="145"/>
      <c r="D866" s="146"/>
      <c r="H866" s="148"/>
      <c r="I866" s="148"/>
      <c r="J866" s="148"/>
      <c r="K866" s="148"/>
      <c r="L866" s="148"/>
      <c r="M866" s="148"/>
      <c r="N866" s="148"/>
      <c r="O866" s="148"/>
      <c r="P866" s="148"/>
      <c r="Q866" s="148"/>
      <c r="R866" s="148"/>
      <c r="S866" s="148"/>
      <c r="T866" s="148"/>
      <c r="U866" s="148"/>
      <c r="V866" s="148"/>
    </row>
    <row r="867" spans="1:22" s="147" customFormat="1" ht="10.5" hidden="1" customHeight="1" x14ac:dyDescent="0.2">
      <c r="A867" s="145"/>
      <c r="B867" s="145"/>
      <c r="C867" s="145"/>
      <c r="D867" s="146"/>
      <c r="H867" s="148"/>
      <c r="I867" s="148"/>
      <c r="J867" s="148"/>
      <c r="K867" s="148"/>
      <c r="L867" s="148"/>
      <c r="M867" s="148"/>
      <c r="N867" s="148"/>
      <c r="O867" s="148"/>
      <c r="P867" s="148"/>
      <c r="Q867" s="148"/>
      <c r="R867" s="148"/>
      <c r="S867" s="148"/>
      <c r="T867" s="148"/>
      <c r="U867" s="148"/>
      <c r="V867" s="148"/>
    </row>
    <row r="868" spans="1:22" s="147" customFormat="1" ht="10.5" hidden="1" customHeight="1" x14ac:dyDescent="0.2">
      <c r="A868" s="145"/>
      <c r="B868" s="145"/>
      <c r="C868" s="145"/>
      <c r="D868" s="146"/>
      <c r="H868" s="148"/>
      <c r="I868" s="148"/>
      <c r="J868" s="148"/>
      <c r="K868" s="148"/>
      <c r="L868" s="148"/>
      <c r="M868" s="148"/>
      <c r="N868" s="148"/>
      <c r="O868" s="148"/>
      <c r="P868" s="148"/>
      <c r="Q868" s="148"/>
      <c r="R868" s="148"/>
      <c r="S868" s="148"/>
      <c r="T868" s="148"/>
      <c r="U868" s="148"/>
      <c r="V868" s="148"/>
    </row>
    <row r="869" spans="1:22" s="147" customFormat="1" ht="10.5" hidden="1" customHeight="1" x14ac:dyDescent="0.2">
      <c r="A869" s="145"/>
      <c r="B869" s="145"/>
      <c r="C869" s="145"/>
      <c r="D869" s="146"/>
      <c r="H869" s="148"/>
      <c r="I869" s="148"/>
      <c r="J869" s="148"/>
      <c r="K869" s="148"/>
      <c r="L869" s="148"/>
      <c r="M869" s="148"/>
      <c r="N869" s="148"/>
      <c r="O869" s="148"/>
      <c r="P869" s="148"/>
      <c r="Q869" s="148"/>
      <c r="R869" s="148"/>
      <c r="S869" s="148"/>
      <c r="T869" s="148"/>
      <c r="U869" s="148"/>
      <c r="V869" s="148"/>
    </row>
    <row r="870" spans="1:22" s="147" customFormat="1" ht="10.5" hidden="1" customHeight="1" x14ac:dyDescent="0.2">
      <c r="A870" s="145"/>
      <c r="B870" s="145"/>
      <c r="C870" s="145"/>
      <c r="D870" s="146"/>
      <c r="H870" s="148"/>
      <c r="I870" s="148"/>
      <c r="J870" s="148"/>
      <c r="K870" s="148"/>
      <c r="L870" s="148"/>
      <c r="M870" s="148"/>
      <c r="N870" s="148"/>
      <c r="O870" s="148"/>
      <c r="P870" s="148"/>
      <c r="Q870" s="148"/>
      <c r="R870" s="148"/>
      <c r="S870" s="148"/>
      <c r="T870" s="148"/>
      <c r="U870" s="148"/>
      <c r="V870" s="148"/>
    </row>
    <row r="871" spans="1:22" s="147" customFormat="1" ht="10.5" hidden="1" customHeight="1" x14ac:dyDescent="0.2">
      <c r="A871" s="145"/>
      <c r="B871" s="145"/>
      <c r="C871" s="145"/>
      <c r="D871" s="146"/>
      <c r="H871" s="148"/>
      <c r="I871" s="148"/>
      <c r="J871" s="148"/>
      <c r="K871" s="148"/>
      <c r="L871" s="148"/>
      <c r="M871" s="148"/>
      <c r="N871" s="148"/>
      <c r="O871" s="148"/>
      <c r="P871" s="148"/>
      <c r="Q871" s="148"/>
      <c r="R871" s="148"/>
      <c r="S871" s="148"/>
      <c r="T871" s="148"/>
      <c r="U871" s="148"/>
      <c r="V871" s="148"/>
    </row>
    <row r="872" spans="1:22" s="147" customFormat="1" ht="10.5" hidden="1" customHeight="1" x14ac:dyDescent="0.2">
      <c r="A872" s="145"/>
      <c r="B872" s="145"/>
      <c r="C872" s="145"/>
      <c r="D872" s="146"/>
      <c r="H872" s="148"/>
      <c r="I872" s="148"/>
      <c r="J872" s="148"/>
      <c r="K872" s="148"/>
      <c r="L872" s="148"/>
      <c r="M872" s="148"/>
      <c r="N872" s="148"/>
      <c r="O872" s="148"/>
      <c r="P872" s="148"/>
      <c r="Q872" s="148"/>
      <c r="R872" s="148"/>
      <c r="S872" s="148"/>
      <c r="T872" s="148"/>
      <c r="U872" s="148"/>
      <c r="V872" s="148"/>
    </row>
    <row r="873" spans="1:22" s="147" customFormat="1" ht="10.5" hidden="1" customHeight="1" x14ac:dyDescent="0.2">
      <c r="A873" s="145"/>
      <c r="B873" s="145"/>
      <c r="C873" s="145"/>
      <c r="D873" s="146"/>
      <c r="H873" s="148"/>
      <c r="I873" s="148"/>
      <c r="J873" s="148"/>
      <c r="K873" s="148"/>
      <c r="L873" s="148"/>
      <c r="M873" s="148"/>
      <c r="N873" s="148"/>
      <c r="O873" s="148"/>
      <c r="P873" s="148"/>
      <c r="Q873" s="148"/>
      <c r="R873" s="148"/>
      <c r="S873" s="148"/>
      <c r="T873" s="148"/>
      <c r="U873" s="148"/>
      <c r="V873" s="148"/>
    </row>
    <row r="874" spans="1:22" s="147" customFormat="1" ht="10.5" hidden="1" customHeight="1" x14ac:dyDescent="0.2">
      <c r="A874" s="145"/>
      <c r="B874" s="145"/>
      <c r="C874" s="145"/>
      <c r="D874" s="146"/>
      <c r="H874" s="148"/>
      <c r="I874" s="148"/>
      <c r="J874" s="148"/>
      <c r="K874" s="148"/>
      <c r="L874" s="148"/>
      <c r="M874" s="148"/>
      <c r="N874" s="148"/>
      <c r="O874" s="148"/>
      <c r="P874" s="148"/>
      <c r="Q874" s="148"/>
      <c r="R874" s="148"/>
      <c r="S874" s="148"/>
      <c r="T874" s="148"/>
      <c r="U874" s="148"/>
      <c r="V874" s="148"/>
    </row>
    <row r="875" spans="1:22" s="147" customFormat="1" ht="10.5" hidden="1" customHeight="1" x14ac:dyDescent="0.2">
      <c r="A875" s="145"/>
      <c r="B875" s="145"/>
      <c r="C875" s="145"/>
      <c r="D875" s="146"/>
      <c r="H875" s="148"/>
      <c r="I875" s="148"/>
      <c r="J875" s="148"/>
      <c r="K875" s="148"/>
      <c r="L875" s="148"/>
      <c r="M875" s="148"/>
      <c r="N875" s="148"/>
      <c r="O875" s="148"/>
      <c r="P875" s="148"/>
      <c r="Q875" s="148"/>
      <c r="R875" s="148"/>
      <c r="S875" s="148"/>
      <c r="T875" s="148"/>
      <c r="U875" s="148"/>
      <c r="V875" s="148"/>
    </row>
    <row r="876" spans="1:22" s="147" customFormat="1" ht="10.5" hidden="1" customHeight="1" x14ac:dyDescent="0.2">
      <c r="A876" s="145"/>
      <c r="B876" s="145"/>
      <c r="C876" s="145"/>
      <c r="D876" s="146"/>
      <c r="H876" s="148"/>
      <c r="I876" s="148"/>
      <c r="J876" s="148"/>
      <c r="K876" s="148"/>
      <c r="L876" s="148"/>
      <c r="M876" s="148"/>
      <c r="N876" s="148"/>
      <c r="O876" s="148"/>
      <c r="P876" s="148"/>
      <c r="Q876" s="148"/>
      <c r="R876" s="148"/>
      <c r="S876" s="148"/>
      <c r="T876" s="148"/>
      <c r="U876" s="148"/>
      <c r="V876" s="148"/>
    </row>
    <row r="877" spans="1:22" s="147" customFormat="1" ht="10.5" hidden="1" customHeight="1" x14ac:dyDescent="0.2">
      <c r="A877" s="145"/>
      <c r="B877" s="145"/>
      <c r="C877" s="145"/>
      <c r="D877" s="146"/>
      <c r="H877" s="148"/>
      <c r="I877" s="148"/>
      <c r="J877" s="148"/>
      <c r="K877" s="148"/>
      <c r="L877" s="148"/>
      <c r="M877" s="148"/>
      <c r="N877" s="148"/>
      <c r="O877" s="148"/>
      <c r="P877" s="148"/>
      <c r="Q877" s="148"/>
      <c r="R877" s="148"/>
      <c r="S877" s="148"/>
      <c r="T877" s="148"/>
      <c r="U877" s="148"/>
      <c r="V877" s="148"/>
    </row>
    <row r="878" spans="1:22" s="147" customFormat="1" ht="10.5" hidden="1" customHeight="1" x14ac:dyDescent="0.2">
      <c r="A878" s="145"/>
      <c r="B878" s="145"/>
      <c r="C878" s="145"/>
      <c r="D878" s="146"/>
      <c r="H878" s="148"/>
      <c r="I878" s="148"/>
      <c r="J878" s="148"/>
      <c r="K878" s="148"/>
      <c r="L878" s="148"/>
      <c r="M878" s="148"/>
      <c r="N878" s="148"/>
      <c r="O878" s="148"/>
      <c r="P878" s="148"/>
      <c r="Q878" s="148"/>
      <c r="R878" s="148"/>
      <c r="S878" s="148"/>
      <c r="T878" s="148"/>
      <c r="U878" s="148"/>
      <c r="V878" s="148"/>
    </row>
    <row r="879" spans="1:22" s="147" customFormat="1" ht="10.5" hidden="1" customHeight="1" x14ac:dyDescent="0.2">
      <c r="A879" s="145"/>
      <c r="B879" s="145"/>
      <c r="C879" s="145"/>
      <c r="D879" s="146"/>
      <c r="H879" s="148"/>
      <c r="I879" s="148"/>
      <c r="J879" s="148"/>
      <c r="K879" s="148"/>
      <c r="L879" s="148"/>
      <c r="M879" s="148"/>
      <c r="N879" s="148"/>
      <c r="O879" s="148"/>
      <c r="P879" s="148"/>
      <c r="Q879" s="148"/>
      <c r="R879" s="148"/>
      <c r="S879" s="148"/>
      <c r="T879" s="148"/>
      <c r="U879" s="148"/>
      <c r="V879" s="148"/>
    </row>
    <row r="880" spans="1:22" s="147" customFormat="1" ht="10.5" hidden="1" customHeight="1" x14ac:dyDescent="0.2">
      <c r="A880" s="145"/>
      <c r="B880" s="145"/>
      <c r="C880" s="145"/>
      <c r="D880" s="146"/>
      <c r="H880" s="148"/>
      <c r="I880" s="148"/>
      <c r="J880" s="148"/>
      <c r="K880" s="148"/>
      <c r="L880" s="148"/>
      <c r="M880" s="148"/>
      <c r="N880" s="148"/>
      <c r="O880" s="148"/>
      <c r="P880" s="148"/>
      <c r="Q880" s="148"/>
      <c r="R880" s="148"/>
      <c r="S880" s="148"/>
      <c r="T880" s="148"/>
      <c r="U880" s="148"/>
      <c r="V880" s="148"/>
    </row>
    <row r="881" spans="1:22" s="147" customFormat="1" ht="10.5" hidden="1" customHeight="1" x14ac:dyDescent="0.2">
      <c r="A881" s="145"/>
      <c r="B881" s="145"/>
      <c r="C881" s="145"/>
      <c r="D881" s="146"/>
      <c r="H881" s="148"/>
      <c r="I881" s="148"/>
      <c r="J881" s="148"/>
      <c r="K881" s="148"/>
      <c r="L881" s="148"/>
      <c r="M881" s="148"/>
      <c r="N881" s="148"/>
      <c r="O881" s="148"/>
      <c r="P881" s="148"/>
      <c r="Q881" s="148"/>
      <c r="R881" s="148"/>
      <c r="S881" s="148"/>
      <c r="T881" s="148"/>
      <c r="U881" s="148"/>
      <c r="V881" s="148"/>
    </row>
    <row r="882" spans="1:22" s="147" customFormat="1" ht="10.5" hidden="1" customHeight="1" x14ac:dyDescent="0.2">
      <c r="A882" s="145"/>
      <c r="B882" s="145"/>
      <c r="C882" s="145"/>
      <c r="D882" s="146"/>
      <c r="H882" s="148"/>
      <c r="I882" s="148"/>
      <c r="J882" s="148"/>
      <c r="K882" s="148"/>
      <c r="L882" s="148"/>
      <c r="M882" s="148"/>
      <c r="N882" s="148"/>
      <c r="O882" s="148"/>
      <c r="P882" s="148"/>
      <c r="Q882" s="148"/>
      <c r="R882" s="148"/>
      <c r="S882" s="148"/>
      <c r="T882" s="148"/>
      <c r="U882" s="148"/>
      <c r="V882" s="148"/>
    </row>
    <row r="883" spans="1:22" s="147" customFormat="1" ht="10.5" hidden="1" customHeight="1" x14ac:dyDescent="0.2">
      <c r="A883" s="145"/>
      <c r="B883" s="145"/>
      <c r="C883" s="145"/>
      <c r="D883" s="146"/>
      <c r="H883" s="148"/>
      <c r="I883" s="148"/>
      <c r="J883" s="148"/>
      <c r="K883" s="148"/>
      <c r="L883" s="148"/>
      <c r="M883" s="148"/>
      <c r="N883" s="148"/>
      <c r="O883" s="148"/>
      <c r="P883" s="148"/>
      <c r="Q883" s="148"/>
      <c r="R883" s="148"/>
      <c r="S883" s="148"/>
      <c r="T883" s="148"/>
      <c r="U883" s="148"/>
      <c r="V883" s="148"/>
    </row>
    <row r="884" spans="1:22" s="147" customFormat="1" ht="10.5" hidden="1" customHeight="1" x14ac:dyDescent="0.2">
      <c r="A884" s="145"/>
      <c r="B884" s="145"/>
      <c r="C884" s="145"/>
      <c r="D884" s="146"/>
      <c r="H884" s="148"/>
      <c r="I884" s="148"/>
      <c r="J884" s="148"/>
      <c r="K884" s="148"/>
      <c r="L884" s="148"/>
      <c r="M884" s="148"/>
      <c r="N884" s="148"/>
      <c r="O884" s="148"/>
      <c r="P884" s="148"/>
      <c r="Q884" s="148"/>
      <c r="R884" s="148"/>
      <c r="S884" s="148"/>
      <c r="T884" s="148"/>
      <c r="U884" s="148"/>
      <c r="V884" s="148"/>
    </row>
    <row r="885" spans="1:22" s="147" customFormat="1" ht="10.5" hidden="1" customHeight="1" x14ac:dyDescent="0.2">
      <c r="A885" s="145"/>
      <c r="B885" s="145"/>
      <c r="C885" s="145"/>
      <c r="D885" s="146"/>
      <c r="H885" s="148"/>
      <c r="I885" s="148"/>
      <c r="J885" s="148"/>
      <c r="K885" s="148"/>
      <c r="L885" s="148"/>
      <c r="M885" s="148"/>
      <c r="N885" s="148"/>
      <c r="O885" s="148"/>
      <c r="P885" s="148"/>
      <c r="Q885" s="148"/>
      <c r="R885" s="148"/>
      <c r="S885" s="148"/>
      <c r="T885" s="148"/>
      <c r="U885" s="148"/>
      <c r="V885" s="148"/>
    </row>
    <row r="886" spans="1:22" s="147" customFormat="1" ht="10.5" hidden="1" customHeight="1" x14ac:dyDescent="0.2">
      <c r="A886" s="145"/>
      <c r="B886" s="145"/>
      <c r="C886" s="145"/>
      <c r="D886" s="146"/>
      <c r="H886" s="148"/>
      <c r="I886" s="148"/>
      <c r="J886" s="148"/>
      <c r="K886" s="148"/>
      <c r="L886" s="148"/>
      <c r="M886" s="148"/>
      <c r="N886" s="148"/>
      <c r="O886" s="148"/>
      <c r="P886" s="148"/>
      <c r="Q886" s="148"/>
      <c r="R886" s="148"/>
      <c r="S886" s="148"/>
      <c r="T886" s="148"/>
      <c r="U886" s="148"/>
      <c r="V886" s="148"/>
    </row>
    <row r="887" spans="1:22" s="147" customFormat="1" ht="10.5" hidden="1" customHeight="1" x14ac:dyDescent="0.2">
      <c r="A887" s="145"/>
      <c r="B887" s="145"/>
      <c r="C887" s="145"/>
      <c r="D887" s="146"/>
      <c r="H887" s="148"/>
      <c r="I887" s="148"/>
      <c r="J887" s="148"/>
      <c r="K887" s="148"/>
      <c r="L887" s="148"/>
      <c r="M887" s="148"/>
      <c r="N887" s="148"/>
      <c r="O887" s="148"/>
      <c r="P887" s="148"/>
      <c r="Q887" s="148"/>
      <c r="R887" s="148"/>
      <c r="S887" s="148"/>
      <c r="T887" s="148"/>
      <c r="U887" s="148"/>
      <c r="V887" s="148"/>
    </row>
    <row r="888" spans="1:22" s="147" customFormat="1" ht="10.5" hidden="1" customHeight="1" x14ac:dyDescent="0.2">
      <c r="A888" s="145"/>
      <c r="B888" s="145"/>
      <c r="C888" s="145"/>
      <c r="D888" s="146"/>
      <c r="H888" s="148"/>
      <c r="I888" s="148"/>
      <c r="J888" s="148"/>
      <c r="K888" s="148"/>
      <c r="L888" s="148"/>
      <c r="M888" s="148"/>
      <c r="N888" s="148"/>
      <c r="O888" s="148"/>
      <c r="P888" s="148"/>
      <c r="Q888" s="148"/>
      <c r="R888" s="148"/>
      <c r="S888" s="148"/>
      <c r="T888" s="148"/>
      <c r="U888" s="148"/>
      <c r="V888" s="148"/>
    </row>
    <row r="889" spans="1:22" s="147" customFormat="1" ht="10.5" hidden="1" customHeight="1" x14ac:dyDescent="0.2">
      <c r="A889" s="145"/>
      <c r="B889" s="145"/>
      <c r="C889" s="145"/>
      <c r="D889" s="146"/>
      <c r="H889" s="148"/>
      <c r="I889" s="148"/>
      <c r="J889" s="148"/>
      <c r="K889" s="148"/>
      <c r="L889" s="148"/>
      <c r="M889" s="148"/>
      <c r="N889" s="148"/>
      <c r="O889" s="148"/>
      <c r="P889" s="148"/>
      <c r="Q889" s="148"/>
      <c r="R889" s="148"/>
      <c r="S889" s="148"/>
      <c r="T889" s="148"/>
      <c r="U889" s="148"/>
      <c r="V889" s="148"/>
    </row>
    <row r="890" spans="1:22" s="147" customFormat="1" ht="10.5" hidden="1" customHeight="1" x14ac:dyDescent="0.2">
      <c r="A890" s="145"/>
      <c r="B890" s="145"/>
      <c r="C890" s="145"/>
      <c r="D890" s="146"/>
      <c r="H890" s="148"/>
      <c r="I890" s="148"/>
      <c r="J890" s="148"/>
      <c r="K890" s="148"/>
      <c r="L890" s="148"/>
      <c r="M890" s="148"/>
      <c r="N890" s="148"/>
      <c r="O890" s="148"/>
      <c r="P890" s="148"/>
      <c r="Q890" s="148"/>
      <c r="R890" s="148"/>
      <c r="S890" s="148"/>
      <c r="T890" s="148"/>
      <c r="U890" s="148"/>
      <c r="V890" s="148"/>
    </row>
    <row r="891" spans="1:22" s="147" customFormat="1" ht="10.5" hidden="1" customHeight="1" x14ac:dyDescent="0.2">
      <c r="A891" s="145"/>
      <c r="B891" s="145"/>
      <c r="C891" s="145"/>
      <c r="D891" s="146"/>
      <c r="H891" s="148"/>
      <c r="I891" s="148"/>
      <c r="J891" s="148"/>
      <c r="K891" s="148"/>
      <c r="L891" s="148"/>
      <c r="M891" s="148"/>
      <c r="N891" s="148"/>
      <c r="O891" s="148"/>
      <c r="P891" s="148"/>
      <c r="Q891" s="148"/>
      <c r="R891" s="148"/>
      <c r="S891" s="148"/>
      <c r="T891" s="148"/>
      <c r="U891" s="148"/>
      <c r="V891" s="148"/>
    </row>
    <row r="892" spans="1:22" s="147" customFormat="1" ht="10.5" hidden="1" customHeight="1" x14ac:dyDescent="0.2">
      <c r="A892" s="145"/>
      <c r="B892" s="145"/>
      <c r="C892" s="145"/>
      <c r="D892" s="146"/>
      <c r="H892" s="148"/>
      <c r="I892" s="148"/>
      <c r="J892" s="148"/>
      <c r="K892" s="148"/>
      <c r="L892" s="148"/>
      <c r="M892" s="148"/>
      <c r="N892" s="148"/>
      <c r="O892" s="148"/>
      <c r="P892" s="148"/>
      <c r="Q892" s="148"/>
      <c r="R892" s="148"/>
      <c r="S892" s="148"/>
      <c r="T892" s="148"/>
      <c r="U892" s="148"/>
      <c r="V892" s="148"/>
    </row>
    <row r="893" spans="1:22" s="147" customFormat="1" ht="10.5" hidden="1" customHeight="1" x14ac:dyDescent="0.2">
      <c r="A893" s="145"/>
      <c r="B893" s="145"/>
      <c r="C893" s="145"/>
      <c r="D893" s="146"/>
      <c r="H893" s="148"/>
      <c r="I893" s="148"/>
      <c r="J893" s="148"/>
      <c r="K893" s="148"/>
      <c r="L893" s="148"/>
      <c r="M893" s="148"/>
      <c r="N893" s="148"/>
      <c r="O893" s="148"/>
      <c r="P893" s="148"/>
      <c r="Q893" s="148"/>
      <c r="R893" s="148"/>
      <c r="S893" s="148"/>
      <c r="T893" s="148"/>
      <c r="U893" s="148"/>
      <c r="V893" s="148"/>
    </row>
    <row r="894" spans="1:22" s="147" customFormat="1" ht="10.5" hidden="1" customHeight="1" x14ac:dyDescent="0.2">
      <c r="A894" s="145"/>
      <c r="B894" s="145"/>
      <c r="C894" s="145"/>
      <c r="D894" s="146"/>
      <c r="H894" s="148"/>
      <c r="I894" s="148"/>
      <c r="J894" s="148"/>
      <c r="K894" s="148"/>
      <c r="L894" s="148"/>
      <c r="M894" s="148"/>
      <c r="N894" s="148"/>
      <c r="O894" s="148"/>
      <c r="P894" s="148"/>
      <c r="Q894" s="148"/>
      <c r="R894" s="148"/>
      <c r="S894" s="148"/>
      <c r="T894" s="148"/>
      <c r="U894" s="148"/>
      <c r="V894" s="148"/>
    </row>
    <row r="895" spans="1:22" s="147" customFormat="1" ht="10.5" hidden="1" customHeight="1" x14ac:dyDescent="0.2">
      <c r="A895" s="145"/>
      <c r="B895" s="145"/>
      <c r="C895" s="145"/>
      <c r="D895" s="146"/>
      <c r="H895" s="148"/>
      <c r="I895" s="148"/>
      <c r="J895" s="148"/>
      <c r="K895" s="148"/>
      <c r="L895" s="148"/>
      <c r="M895" s="148"/>
      <c r="N895" s="148"/>
      <c r="O895" s="148"/>
      <c r="P895" s="148"/>
      <c r="Q895" s="148"/>
      <c r="R895" s="148"/>
      <c r="S895" s="148"/>
      <c r="T895" s="148"/>
      <c r="U895" s="148"/>
      <c r="V895" s="148"/>
    </row>
    <row r="896" spans="1:22" s="147" customFormat="1" ht="10.5" hidden="1" customHeight="1" x14ac:dyDescent="0.2">
      <c r="A896" s="145"/>
      <c r="B896" s="145"/>
      <c r="C896" s="145"/>
      <c r="D896" s="146"/>
      <c r="H896" s="148"/>
      <c r="I896" s="148"/>
      <c r="J896" s="148"/>
      <c r="K896" s="148"/>
      <c r="L896" s="148"/>
      <c r="M896" s="148"/>
      <c r="N896" s="148"/>
      <c r="O896" s="148"/>
      <c r="P896" s="148"/>
      <c r="Q896" s="148"/>
      <c r="R896" s="148"/>
      <c r="S896" s="148"/>
      <c r="T896" s="148"/>
      <c r="U896" s="148"/>
      <c r="V896" s="148"/>
    </row>
    <row r="897" spans="1:22" s="147" customFormat="1" ht="10.5" hidden="1" customHeight="1" x14ac:dyDescent="0.2">
      <c r="A897" s="145"/>
      <c r="B897" s="145"/>
      <c r="C897" s="145"/>
      <c r="D897" s="146"/>
      <c r="H897" s="148"/>
      <c r="I897" s="148"/>
      <c r="J897" s="148"/>
      <c r="K897" s="148"/>
      <c r="L897" s="148"/>
      <c r="M897" s="148"/>
      <c r="N897" s="148"/>
      <c r="O897" s="148"/>
      <c r="P897" s="148"/>
      <c r="Q897" s="148"/>
      <c r="R897" s="148"/>
      <c r="S897" s="148"/>
      <c r="T897" s="148"/>
      <c r="U897" s="148"/>
      <c r="V897" s="148"/>
    </row>
    <row r="898" spans="1:22" s="147" customFormat="1" ht="10.5" hidden="1" customHeight="1" x14ac:dyDescent="0.2">
      <c r="A898" s="145"/>
      <c r="B898" s="145"/>
      <c r="C898" s="145"/>
      <c r="D898" s="146"/>
      <c r="H898" s="148"/>
      <c r="I898" s="148"/>
      <c r="J898" s="148"/>
      <c r="K898" s="148"/>
      <c r="L898" s="148"/>
      <c r="M898" s="148"/>
      <c r="N898" s="148"/>
      <c r="O898" s="148"/>
      <c r="P898" s="148"/>
      <c r="Q898" s="148"/>
      <c r="R898" s="148"/>
      <c r="S898" s="148"/>
      <c r="T898" s="148"/>
      <c r="U898" s="148"/>
      <c r="V898" s="148"/>
    </row>
    <row r="899" spans="1:22" s="147" customFormat="1" ht="10.5" hidden="1" customHeight="1" x14ac:dyDescent="0.2">
      <c r="A899" s="145"/>
      <c r="B899" s="145"/>
      <c r="C899" s="145"/>
      <c r="D899" s="146"/>
      <c r="H899" s="148"/>
      <c r="I899" s="148"/>
      <c r="J899" s="148"/>
      <c r="K899" s="148"/>
      <c r="L899" s="148"/>
      <c r="M899" s="148"/>
      <c r="N899" s="148"/>
      <c r="O899" s="148"/>
      <c r="P899" s="148"/>
      <c r="Q899" s="148"/>
      <c r="R899" s="148"/>
      <c r="S899" s="148"/>
      <c r="T899" s="148"/>
      <c r="U899" s="148"/>
      <c r="V899" s="148"/>
    </row>
    <row r="900" spans="1:22" s="147" customFormat="1" ht="10.5" hidden="1" customHeight="1" x14ac:dyDescent="0.2">
      <c r="A900" s="145"/>
      <c r="B900" s="145"/>
      <c r="C900" s="145"/>
      <c r="D900" s="146"/>
      <c r="H900" s="148"/>
      <c r="I900" s="148"/>
      <c r="J900" s="148"/>
      <c r="K900" s="148"/>
      <c r="L900" s="148"/>
      <c r="M900" s="148"/>
      <c r="N900" s="148"/>
      <c r="O900" s="148"/>
      <c r="P900" s="148"/>
      <c r="Q900" s="148"/>
      <c r="R900" s="148"/>
      <c r="S900" s="148"/>
      <c r="T900" s="148"/>
      <c r="U900" s="148"/>
      <c r="V900" s="148"/>
    </row>
    <row r="901" spans="1:22" s="147" customFormat="1" ht="10.5" customHeight="1" x14ac:dyDescent="0.2">
      <c r="A901" s="145"/>
      <c r="B901" s="145"/>
      <c r="C901" s="145"/>
      <c r="D901" s="146"/>
      <c r="H901" s="148"/>
      <c r="I901" s="148"/>
      <c r="J901" s="148"/>
      <c r="K901" s="148"/>
      <c r="L901" s="148"/>
      <c r="M901" s="148"/>
      <c r="N901" s="148"/>
      <c r="O901" s="148"/>
      <c r="P901" s="148"/>
      <c r="Q901" s="148"/>
      <c r="R901" s="148"/>
      <c r="S901" s="148"/>
      <c r="T901" s="148"/>
      <c r="U901" s="148"/>
      <c r="V901" s="148"/>
    </row>
    <row r="902" spans="1:22" s="147" customFormat="1" ht="10.5" customHeight="1" x14ac:dyDescent="0.2">
      <c r="A902" s="145"/>
      <c r="B902" s="145"/>
      <c r="C902" s="145"/>
      <c r="D902" s="146"/>
      <c r="H902" s="148"/>
      <c r="I902" s="148"/>
      <c r="J902" s="148"/>
      <c r="K902" s="148"/>
      <c r="L902" s="148"/>
      <c r="M902" s="148"/>
      <c r="N902" s="148"/>
      <c r="O902" s="148"/>
      <c r="P902" s="148"/>
      <c r="Q902" s="148"/>
      <c r="R902" s="148"/>
      <c r="S902" s="148"/>
      <c r="T902" s="148"/>
      <c r="U902" s="148"/>
      <c r="V902" s="148"/>
    </row>
    <row r="903" spans="1:22" s="147" customFormat="1" ht="10.5" customHeight="1" x14ac:dyDescent="0.2">
      <c r="A903" s="145"/>
      <c r="B903" s="145"/>
      <c r="C903" s="145"/>
      <c r="D903" s="146"/>
      <c r="H903" s="148"/>
      <c r="I903" s="148"/>
      <c r="J903" s="148"/>
      <c r="K903" s="148"/>
      <c r="L903" s="148"/>
      <c r="M903" s="148"/>
      <c r="N903" s="148"/>
      <c r="O903" s="148"/>
      <c r="P903" s="148"/>
      <c r="Q903" s="148"/>
      <c r="R903" s="148"/>
      <c r="S903" s="148"/>
      <c r="T903" s="148"/>
      <c r="U903" s="148"/>
      <c r="V903" s="148"/>
    </row>
    <row r="904" spans="1:22" s="147" customFormat="1" ht="10.5" customHeight="1" x14ac:dyDescent="0.2">
      <c r="A904" s="145"/>
      <c r="B904" s="145"/>
      <c r="C904" s="145"/>
      <c r="D904" s="146"/>
      <c r="H904" s="148"/>
      <c r="I904" s="148"/>
      <c r="J904" s="148"/>
      <c r="K904" s="148"/>
      <c r="L904" s="148"/>
      <c r="M904" s="148"/>
      <c r="N904" s="148"/>
      <c r="O904" s="148"/>
      <c r="P904" s="148"/>
      <c r="Q904" s="148"/>
      <c r="R904" s="148"/>
      <c r="S904" s="148"/>
      <c r="T904" s="148"/>
      <c r="U904" s="148"/>
      <c r="V904" s="148"/>
    </row>
    <row r="905" spans="1:22" s="147" customFormat="1" ht="10.5" customHeight="1" x14ac:dyDescent="0.2">
      <c r="A905" s="145"/>
      <c r="B905" s="145"/>
      <c r="C905" s="145"/>
      <c r="D905" s="146"/>
      <c r="H905" s="148"/>
      <c r="I905" s="148"/>
      <c r="J905" s="148"/>
      <c r="K905" s="148"/>
      <c r="L905" s="148"/>
      <c r="M905" s="148"/>
      <c r="N905" s="148"/>
      <c r="O905" s="148"/>
      <c r="P905" s="148"/>
      <c r="Q905" s="148"/>
      <c r="R905" s="148"/>
      <c r="S905" s="148"/>
      <c r="T905" s="148"/>
      <c r="U905" s="148"/>
      <c r="V905" s="148"/>
    </row>
    <row r="906" spans="1:22" s="147" customFormat="1" ht="10.5" customHeight="1" x14ac:dyDescent="0.2">
      <c r="A906" s="145"/>
      <c r="B906" s="145"/>
      <c r="C906" s="145"/>
      <c r="D906" s="146"/>
      <c r="H906" s="148"/>
      <c r="I906" s="148"/>
      <c r="J906" s="148"/>
      <c r="K906" s="148"/>
      <c r="L906" s="148"/>
      <c r="M906" s="148"/>
      <c r="N906" s="148"/>
      <c r="O906" s="148"/>
      <c r="P906" s="148"/>
      <c r="Q906" s="148"/>
      <c r="R906" s="148"/>
      <c r="S906" s="148"/>
      <c r="T906" s="148"/>
      <c r="U906" s="148"/>
      <c r="V906" s="148"/>
    </row>
    <row r="907" spans="1:22" s="147" customFormat="1" ht="10.5" customHeight="1" x14ac:dyDescent="0.2">
      <c r="A907" s="145"/>
      <c r="B907" s="145"/>
      <c r="C907" s="145"/>
      <c r="D907" s="146"/>
      <c r="H907" s="148"/>
      <c r="I907" s="148"/>
      <c r="J907" s="148"/>
      <c r="K907" s="148"/>
      <c r="L907" s="148"/>
      <c r="M907" s="148"/>
      <c r="N907" s="148"/>
      <c r="O907" s="148"/>
      <c r="P907" s="148"/>
      <c r="Q907" s="148"/>
      <c r="R907" s="148"/>
      <c r="S907" s="148"/>
      <c r="T907" s="148"/>
      <c r="U907" s="148"/>
      <c r="V907" s="148"/>
    </row>
    <row r="908" spans="1:22" s="147" customFormat="1" ht="10.5" customHeight="1" x14ac:dyDescent="0.2">
      <c r="A908" s="145"/>
      <c r="B908" s="145"/>
      <c r="C908" s="145"/>
      <c r="D908" s="146"/>
      <c r="H908" s="148"/>
      <c r="I908" s="148"/>
      <c r="J908" s="148"/>
      <c r="K908" s="148"/>
      <c r="L908" s="148"/>
      <c r="M908" s="148"/>
      <c r="N908" s="148"/>
      <c r="O908" s="148"/>
      <c r="P908" s="148"/>
      <c r="Q908" s="148"/>
      <c r="R908" s="148"/>
      <c r="S908" s="148"/>
      <c r="T908" s="148"/>
      <c r="U908" s="148"/>
      <c r="V908" s="148"/>
    </row>
    <row r="909" spans="1:22" s="147" customFormat="1" ht="10.5" customHeight="1" x14ac:dyDescent="0.2">
      <c r="A909" s="145"/>
      <c r="B909" s="145"/>
      <c r="C909" s="145"/>
      <c r="D909" s="146"/>
      <c r="H909" s="148"/>
      <c r="I909" s="148"/>
      <c r="J909" s="148"/>
      <c r="K909" s="148"/>
      <c r="L909" s="148"/>
      <c r="M909" s="148"/>
      <c r="N909" s="148"/>
      <c r="O909" s="148"/>
      <c r="P909" s="148"/>
      <c r="Q909" s="148"/>
      <c r="R909" s="148"/>
      <c r="S909" s="148"/>
      <c r="T909" s="148"/>
      <c r="U909" s="148"/>
      <c r="V909" s="148"/>
    </row>
    <row r="910" spans="1:22" s="147" customFormat="1" ht="10.5" customHeight="1" x14ac:dyDescent="0.2">
      <c r="A910" s="145"/>
      <c r="B910" s="145"/>
      <c r="C910" s="145"/>
      <c r="D910" s="146"/>
      <c r="H910" s="148"/>
      <c r="I910" s="148"/>
      <c r="J910" s="148"/>
      <c r="K910" s="148"/>
      <c r="L910" s="148"/>
      <c r="M910" s="148"/>
      <c r="N910" s="148"/>
      <c r="O910" s="148"/>
      <c r="P910" s="148"/>
      <c r="Q910" s="148"/>
      <c r="R910" s="148"/>
      <c r="S910" s="148"/>
      <c r="T910" s="148"/>
      <c r="U910" s="148"/>
      <c r="V910" s="148"/>
    </row>
    <row r="911" spans="1:22" s="147" customFormat="1" ht="10.5" customHeight="1" x14ac:dyDescent="0.2">
      <c r="A911" s="145"/>
      <c r="B911" s="145"/>
      <c r="C911" s="145"/>
      <c r="D911" s="146"/>
      <c r="H911" s="148"/>
      <c r="I911" s="148"/>
      <c r="J911" s="148"/>
      <c r="K911" s="148"/>
      <c r="L911" s="148"/>
      <c r="M911" s="148"/>
      <c r="N911" s="148"/>
      <c r="O911" s="148"/>
      <c r="P911" s="148"/>
      <c r="Q911" s="148"/>
      <c r="R911" s="148"/>
      <c r="S911" s="148"/>
      <c r="T911" s="148"/>
      <c r="U911" s="148"/>
      <c r="V911" s="148"/>
    </row>
    <row r="912" spans="1:22" s="147" customFormat="1" ht="10.5" customHeight="1" x14ac:dyDescent="0.2">
      <c r="A912" s="145"/>
      <c r="B912" s="145"/>
      <c r="C912" s="145"/>
      <c r="D912" s="146"/>
      <c r="H912" s="148"/>
      <c r="I912" s="148"/>
      <c r="J912" s="148"/>
      <c r="K912" s="148"/>
      <c r="L912" s="148"/>
      <c r="M912" s="148"/>
      <c r="N912" s="148"/>
      <c r="O912" s="148"/>
      <c r="P912" s="148"/>
      <c r="Q912" s="148"/>
      <c r="R912" s="148"/>
      <c r="S912" s="148"/>
      <c r="T912" s="148"/>
      <c r="U912" s="148"/>
      <c r="V912" s="148"/>
    </row>
    <row r="913" spans="1:22" s="147" customFormat="1" ht="10.5" customHeight="1" x14ac:dyDescent="0.2">
      <c r="A913" s="145"/>
      <c r="B913" s="145"/>
      <c r="C913" s="145"/>
      <c r="D913" s="146"/>
      <c r="H913" s="148"/>
      <c r="I913" s="148"/>
      <c r="J913" s="148"/>
      <c r="K913" s="148"/>
      <c r="L913" s="148"/>
      <c r="M913" s="148"/>
      <c r="N913" s="148"/>
      <c r="O913" s="148"/>
      <c r="P913" s="148"/>
      <c r="Q913" s="148"/>
      <c r="R913" s="148"/>
      <c r="S913" s="148"/>
      <c r="T913" s="148"/>
      <c r="U913" s="148"/>
      <c r="V913" s="148"/>
    </row>
    <row r="914" spans="1:22" s="147" customFormat="1" ht="10.5" customHeight="1" x14ac:dyDescent="0.2">
      <c r="A914" s="145"/>
      <c r="B914" s="145"/>
      <c r="C914" s="145"/>
      <c r="D914" s="146"/>
      <c r="H914" s="148"/>
      <c r="I914" s="148"/>
      <c r="J914" s="148"/>
      <c r="K914" s="148"/>
      <c r="L914" s="148"/>
      <c r="M914" s="148"/>
      <c r="N914" s="148"/>
      <c r="O914" s="148"/>
      <c r="P914" s="148"/>
      <c r="Q914" s="148"/>
      <c r="R914" s="148"/>
      <c r="S914" s="148"/>
      <c r="T914" s="148"/>
      <c r="U914" s="148"/>
      <c r="V914" s="148"/>
    </row>
    <row r="915" spans="1:22" s="147" customFormat="1" ht="10.5" customHeight="1" x14ac:dyDescent="0.2">
      <c r="A915" s="145"/>
      <c r="B915" s="145"/>
      <c r="C915" s="145"/>
      <c r="D915" s="146"/>
      <c r="H915" s="148"/>
      <c r="I915" s="148"/>
      <c r="J915" s="148"/>
      <c r="K915" s="148"/>
      <c r="L915" s="148"/>
      <c r="M915" s="148"/>
      <c r="N915" s="148"/>
      <c r="O915" s="148"/>
      <c r="P915" s="148"/>
      <c r="Q915" s="148"/>
      <c r="R915" s="148"/>
      <c r="S915" s="148"/>
      <c r="T915" s="148"/>
      <c r="U915" s="148"/>
      <c r="V915" s="148"/>
    </row>
    <row r="916" spans="1:22" s="147" customFormat="1" ht="10.5" customHeight="1" x14ac:dyDescent="0.2">
      <c r="A916" s="145"/>
      <c r="B916" s="145"/>
      <c r="C916" s="145"/>
      <c r="D916" s="146"/>
      <c r="H916" s="148"/>
      <c r="I916" s="148"/>
      <c r="J916" s="148"/>
      <c r="K916" s="148"/>
      <c r="L916" s="148"/>
      <c r="M916" s="148"/>
      <c r="N916" s="148"/>
      <c r="O916" s="148"/>
      <c r="P916" s="148"/>
      <c r="Q916" s="148"/>
      <c r="R916" s="148"/>
      <c r="S916" s="148"/>
      <c r="T916" s="148"/>
      <c r="U916" s="148"/>
      <c r="V916" s="148"/>
    </row>
    <row r="917" spans="1:22" s="147" customFormat="1" ht="10.5" customHeight="1" x14ac:dyDescent="0.2">
      <c r="A917" s="145"/>
      <c r="B917" s="145"/>
      <c r="C917" s="145"/>
      <c r="D917" s="146"/>
      <c r="H917" s="148"/>
      <c r="I917" s="148"/>
      <c r="J917" s="148"/>
      <c r="K917" s="148"/>
      <c r="L917" s="148"/>
      <c r="M917" s="148"/>
      <c r="N917" s="148"/>
      <c r="O917" s="148"/>
      <c r="P917" s="148"/>
      <c r="Q917" s="148"/>
      <c r="R917" s="148"/>
      <c r="S917" s="148"/>
      <c r="T917" s="148"/>
      <c r="U917" s="148"/>
      <c r="V917" s="148"/>
    </row>
    <row r="918" spans="1:22" s="147" customFormat="1" ht="10.5" customHeight="1" x14ac:dyDescent="0.2">
      <c r="A918" s="145"/>
      <c r="B918" s="145"/>
      <c r="C918" s="145"/>
      <c r="D918" s="146"/>
      <c r="H918" s="148"/>
      <c r="I918" s="148"/>
      <c r="J918" s="148"/>
      <c r="K918" s="148"/>
      <c r="L918" s="148"/>
      <c r="M918" s="148"/>
      <c r="N918" s="148"/>
      <c r="O918" s="148"/>
      <c r="P918" s="148"/>
      <c r="Q918" s="148"/>
      <c r="R918" s="148"/>
      <c r="S918" s="148"/>
      <c r="T918" s="148"/>
      <c r="U918" s="148"/>
      <c r="V918" s="148"/>
    </row>
    <row r="919" spans="1:22" s="147" customFormat="1" ht="10.5" customHeight="1" x14ac:dyDescent="0.2">
      <c r="A919" s="145"/>
      <c r="B919" s="145"/>
      <c r="C919" s="145"/>
      <c r="D919" s="146"/>
      <c r="H919" s="148"/>
      <c r="I919" s="148"/>
      <c r="J919" s="148"/>
      <c r="K919" s="148"/>
      <c r="L919" s="148"/>
      <c r="M919" s="148"/>
      <c r="N919" s="148"/>
      <c r="O919" s="148"/>
      <c r="P919" s="148"/>
      <c r="Q919" s="148"/>
      <c r="R919" s="148"/>
      <c r="S919" s="148"/>
      <c r="T919" s="148"/>
      <c r="U919" s="148"/>
      <c r="V919" s="148"/>
    </row>
    <row r="920" spans="1:22" s="147" customFormat="1" ht="10.5" customHeight="1" x14ac:dyDescent="0.2">
      <c r="A920" s="145"/>
      <c r="B920" s="145"/>
      <c r="C920" s="145"/>
      <c r="D920" s="146"/>
      <c r="H920" s="148"/>
      <c r="I920" s="148"/>
      <c r="J920" s="148"/>
      <c r="K920" s="148"/>
      <c r="L920" s="148"/>
      <c r="M920" s="148"/>
      <c r="N920" s="148"/>
      <c r="O920" s="148"/>
      <c r="P920" s="148"/>
      <c r="Q920" s="148"/>
      <c r="R920" s="148"/>
      <c r="S920" s="148"/>
      <c r="T920" s="148"/>
      <c r="U920" s="148"/>
      <c r="V920" s="148"/>
    </row>
    <row r="921" spans="1:22" s="147" customFormat="1" ht="10.5" customHeight="1" x14ac:dyDescent="0.2">
      <c r="A921" s="145"/>
      <c r="B921" s="145"/>
      <c r="C921" s="145"/>
      <c r="D921" s="146"/>
      <c r="H921" s="148"/>
      <c r="I921" s="148"/>
      <c r="J921" s="148"/>
      <c r="K921" s="148"/>
      <c r="L921" s="148"/>
      <c r="M921" s="148"/>
      <c r="N921" s="148"/>
      <c r="O921" s="148"/>
      <c r="P921" s="148"/>
      <c r="Q921" s="148"/>
      <c r="R921" s="148"/>
      <c r="S921" s="148"/>
      <c r="T921" s="148"/>
      <c r="U921" s="148"/>
      <c r="V921" s="148"/>
    </row>
    <row r="922" spans="1:22" s="147" customFormat="1" ht="10.5" customHeight="1" x14ac:dyDescent="0.2">
      <c r="A922" s="145"/>
      <c r="B922" s="145"/>
      <c r="C922" s="145"/>
      <c r="D922" s="146"/>
      <c r="H922" s="148"/>
      <c r="I922" s="148"/>
      <c r="J922" s="148"/>
      <c r="K922" s="148"/>
      <c r="L922" s="148"/>
      <c r="M922" s="148"/>
      <c r="N922" s="148"/>
      <c r="O922" s="148"/>
      <c r="P922" s="148"/>
      <c r="Q922" s="148"/>
      <c r="R922" s="148"/>
      <c r="S922" s="148"/>
      <c r="T922" s="148"/>
      <c r="U922" s="148"/>
      <c r="V922" s="148"/>
    </row>
    <row r="923" spans="1:22" s="147" customFormat="1" ht="10.5" customHeight="1" x14ac:dyDescent="0.2">
      <c r="A923" s="145"/>
      <c r="B923" s="145"/>
      <c r="C923" s="145"/>
      <c r="D923" s="146"/>
      <c r="H923" s="148"/>
      <c r="I923" s="148"/>
      <c r="J923" s="148"/>
      <c r="K923" s="148"/>
      <c r="L923" s="148"/>
      <c r="M923" s="148"/>
      <c r="N923" s="148"/>
      <c r="O923" s="148"/>
      <c r="P923" s="148"/>
      <c r="Q923" s="148"/>
      <c r="R923" s="148"/>
      <c r="S923" s="148"/>
      <c r="T923" s="148"/>
      <c r="U923" s="148"/>
      <c r="V923" s="148"/>
    </row>
    <row r="924" spans="1:22" s="147" customFormat="1" ht="10.5" customHeight="1" x14ac:dyDescent="0.2">
      <c r="A924" s="145"/>
      <c r="B924" s="145"/>
      <c r="C924" s="145"/>
      <c r="D924" s="146"/>
      <c r="H924" s="148"/>
      <c r="I924" s="148"/>
      <c r="J924" s="148"/>
      <c r="K924" s="148"/>
      <c r="L924" s="148"/>
      <c r="M924" s="148"/>
      <c r="N924" s="148"/>
      <c r="O924" s="148"/>
      <c r="P924" s="148"/>
      <c r="Q924" s="148"/>
      <c r="R924" s="148"/>
      <c r="S924" s="148"/>
      <c r="T924" s="148"/>
      <c r="U924" s="148"/>
      <c r="V924" s="148"/>
    </row>
    <row r="925" spans="1:22" s="147" customFormat="1" ht="10.5" customHeight="1" x14ac:dyDescent="0.2">
      <c r="A925" s="145"/>
      <c r="B925" s="145"/>
      <c r="C925" s="145"/>
      <c r="D925" s="146"/>
      <c r="H925" s="148"/>
      <c r="I925" s="148"/>
      <c r="J925" s="148"/>
      <c r="K925" s="148"/>
      <c r="L925" s="148"/>
      <c r="M925" s="148"/>
      <c r="N925" s="148"/>
      <c r="O925" s="148"/>
      <c r="P925" s="148"/>
      <c r="Q925" s="148"/>
      <c r="R925" s="148"/>
      <c r="S925" s="148"/>
      <c r="T925" s="148"/>
      <c r="U925" s="148"/>
      <c r="V925" s="148"/>
    </row>
    <row r="926" spans="1:22" s="147" customFormat="1" ht="10.5" customHeight="1" x14ac:dyDescent="0.2">
      <c r="A926" s="145"/>
      <c r="B926" s="145"/>
      <c r="C926" s="145"/>
      <c r="D926" s="146"/>
      <c r="H926" s="148"/>
      <c r="I926" s="148"/>
      <c r="J926" s="148"/>
      <c r="K926" s="148"/>
      <c r="L926" s="148"/>
      <c r="M926" s="148"/>
      <c r="N926" s="148"/>
      <c r="O926" s="148"/>
      <c r="P926" s="148"/>
      <c r="Q926" s="148"/>
      <c r="R926" s="148"/>
      <c r="S926" s="148"/>
      <c r="T926" s="148"/>
      <c r="U926" s="148"/>
      <c r="V926" s="148"/>
    </row>
    <row r="927" spans="1:22" s="147" customFormat="1" ht="10.5" customHeight="1" x14ac:dyDescent="0.2">
      <c r="A927" s="145"/>
      <c r="B927" s="145"/>
      <c r="C927" s="145"/>
      <c r="D927" s="146"/>
      <c r="H927" s="148"/>
      <c r="I927" s="148"/>
      <c r="J927" s="148"/>
      <c r="K927" s="148"/>
      <c r="L927" s="148"/>
      <c r="M927" s="148"/>
      <c r="N927" s="148"/>
      <c r="O927" s="148"/>
      <c r="P927" s="148"/>
      <c r="Q927" s="148"/>
      <c r="R927" s="148"/>
      <c r="S927" s="148"/>
      <c r="T927" s="148"/>
      <c r="U927" s="148"/>
      <c r="V927" s="148"/>
    </row>
    <row r="928" spans="1:22" s="147" customFormat="1" ht="10.5" customHeight="1" x14ac:dyDescent="0.2">
      <c r="A928" s="145"/>
      <c r="B928" s="145"/>
      <c r="C928" s="145"/>
      <c r="D928" s="146"/>
      <c r="H928" s="148"/>
      <c r="I928" s="148"/>
      <c r="J928" s="148"/>
      <c r="K928" s="148"/>
      <c r="L928" s="148"/>
      <c r="M928" s="148"/>
      <c r="N928" s="148"/>
      <c r="O928" s="148"/>
      <c r="P928" s="148"/>
      <c r="Q928" s="148"/>
      <c r="R928" s="148"/>
      <c r="S928" s="148"/>
      <c r="T928" s="148"/>
      <c r="U928" s="148"/>
      <c r="V928" s="148"/>
    </row>
    <row r="929" spans="1:22" s="147" customFormat="1" ht="10.5" customHeight="1" x14ac:dyDescent="0.2">
      <c r="A929" s="145"/>
      <c r="B929" s="145"/>
      <c r="C929" s="145"/>
      <c r="D929" s="146"/>
      <c r="H929" s="148"/>
      <c r="I929" s="148"/>
      <c r="J929" s="148"/>
      <c r="K929" s="148"/>
      <c r="L929" s="148"/>
      <c r="M929" s="148"/>
      <c r="N929" s="148"/>
      <c r="O929" s="148"/>
      <c r="P929" s="148"/>
      <c r="Q929" s="148"/>
      <c r="R929" s="148"/>
      <c r="S929" s="148"/>
      <c r="T929" s="148"/>
      <c r="U929" s="148"/>
      <c r="V929" s="148"/>
    </row>
    <row r="930" spans="1:22" s="147" customFormat="1" ht="10.5" customHeight="1" x14ac:dyDescent="0.2">
      <c r="A930" s="145"/>
      <c r="B930" s="145"/>
      <c r="C930" s="145"/>
      <c r="D930" s="146"/>
      <c r="H930" s="148"/>
      <c r="I930" s="148"/>
      <c r="J930" s="148"/>
      <c r="K930" s="148"/>
      <c r="L930" s="148"/>
      <c r="M930" s="148"/>
      <c r="N930" s="148"/>
      <c r="O930" s="148"/>
      <c r="P930" s="148"/>
      <c r="Q930" s="148"/>
      <c r="R930" s="148"/>
      <c r="S930" s="148"/>
      <c r="T930" s="148"/>
      <c r="U930" s="148"/>
      <c r="V930" s="148"/>
    </row>
    <row r="931" spans="1:22" s="147" customFormat="1" ht="10.5" customHeight="1" x14ac:dyDescent="0.2">
      <c r="A931" s="145"/>
      <c r="B931" s="145"/>
      <c r="C931" s="145"/>
      <c r="D931" s="146"/>
      <c r="H931" s="148"/>
      <c r="I931" s="148"/>
      <c r="J931" s="148"/>
      <c r="K931" s="148"/>
      <c r="L931" s="148"/>
      <c r="M931" s="148"/>
      <c r="N931" s="148"/>
      <c r="O931" s="148"/>
      <c r="P931" s="148"/>
      <c r="Q931" s="148"/>
      <c r="R931" s="148"/>
      <c r="S931" s="148"/>
      <c r="T931" s="148"/>
      <c r="U931" s="148"/>
      <c r="V931" s="148"/>
    </row>
    <row r="932" spans="1:22" s="147" customFormat="1" ht="10.5" customHeight="1" x14ac:dyDescent="0.2">
      <c r="A932" s="145"/>
      <c r="B932" s="145"/>
      <c r="C932" s="145"/>
      <c r="D932" s="146"/>
      <c r="H932" s="148"/>
      <c r="I932" s="148"/>
      <c r="J932" s="148"/>
      <c r="K932" s="148"/>
      <c r="L932" s="148"/>
      <c r="M932" s="148"/>
      <c r="N932" s="148"/>
      <c r="O932" s="148"/>
      <c r="P932" s="148"/>
      <c r="Q932" s="148"/>
      <c r="R932" s="148"/>
      <c r="S932" s="148"/>
      <c r="T932" s="148"/>
      <c r="U932" s="148"/>
      <c r="V932" s="148"/>
    </row>
    <row r="933" spans="1:22" s="147" customFormat="1" ht="10.5" customHeight="1" x14ac:dyDescent="0.2">
      <c r="A933" s="145"/>
      <c r="B933" s="145"/>
      <c r="C933" s="145"/>
      <c r="D933" s="146"/>
      <c r="H933" s="148"/>
      <c r="I933" s="148"/>
      <c r="J933" s="148"/>
      <c r="K933" s="148"/>
      <c r="L933" s="148"/>
      <c r="M933" s="148"/>
      <c r="N933" s="148"/>
      <c r="O933" s="148"/>
      <c r="P933" s="148"/>
      <c r="Q933" s="148"/>
      <c r="R933" s="148"/>
      <c r="S933" s="148"/>
      <c r="T933" s="148"/>
      <c r="U933" s="148"/>
      <c r="V933" s="148"/>
    </row>
    <row r="934" spans="1:22" s="147" customFormat="1" ht="10.5" customHeight="1" x14ac:dyDescent="0.2">
      <c r="A934" s="145"/>
      <c r="B934" s="145"/>
      <c r="C934" s="145"/>
      <c r="D934" s="146"/>
      <c r="H934" s="148"/>
      <c r="I934" s="148"/>
      <c r="J934" s="148"/>
      <c r="K934" s="148"/>
      <c r="L934" s="148"/>
      <c r="M934" s="148"/>
      <c r="N934" s="148"/>
      <c r="O934" s="148"/>
      <c r="P934" s="148"/>
      <c r="Q934" s="148"/>
      <c r="R934" s="148"/>
      <c r="S934" s="148"/>
      <c r="T934" s="148"/>
      <c r="U934" s="148"/>
      <c r="V934" s="148"/>
    </row>
    <row r="935" spans="1:22" s="147" customFormat="1" ht="10.5" customHeight="1" x14ac:dyDescent="0.2">
      <c r="A935" s="145"/>
      <c r="B935" s="145"/>
      <c r="C935" s="145"/>
      <c r="D935" s="146"/>
      <c r="H935" s="148"/>
      <c r="I935" s="148"/>
      <c r="J935" s="148"/>
      <c r="K935" s="148"/>
      <c r="L935" s="148"/>
      <c r="M935" s="148"/>
      <c r="N935" s="148"/>
      <c r="O935" s="148"/>
      <c r="P935" s="148"/>
      <c r="Q935" s="148"/>
      <c r="R935" s="148"/>
      <c r="S935" s="148"/>
      <c r="T935" s="148"/>
      <c r="U935" s="148"/>
      <c r="V935" s="148"/>
    </row>
    <row r="936" spans="1:22" s="147" customFormat="1" ht="10.5" customHeight="1" x14ac:dyDescent="0.2">
      <c r="A936" s="145"/>
      <c r="B936" s="145"/>
      <c r="C936" s="145"/>
      <c r="D936" s="146"/>
      <c r="H936" s="148"/>
      <c r="I936" s="148"/>
      <c r="J936" s="148"/>
      <c r="K936" s="148"/>
      <c r="L936" s="148"/>
      <c r="M936" s="148"/>
      <c r="N936" s="148"/>
      <c r="O936" s="148"/>
      <c r="P936" s="148"/>
      <c r="Q936" s="148"/>
      <c r="R936" s="148"/>
      <c r="S936" s="148"/>
      <c r="T936" s="148"/>
      <c r="U936" s="148"/>
      <c r="V936" s="148"/>
    </row>
    <row r="937" spans="1:22" s="147" customFormat="1" ht="10.5" customHeight="1" x14ac:dyDescent="0.2">
      <c r="A937" s="145"/>
      <c r="B937" s="145"/>
      <c r="C937" s="145"/>
      <c r="D937" s="146"/>
      <c r="H937" s="148"/>
      <c r="I937" s="148"/>
      <c r="J937" s="148"/>
      <c r="K937" s="148"/>
      <c r="L937" s="148"/>
      <c r="M937" s="148"/>
      <c r="N937" s="148"/>
      <c r="O937" s="148"/>
      <c r="P937" s="148"/>
      <c r="Q937" s="148"/>
      <c r="R937" s="148"/>
      <c r="S937" s="148"/>
      <c r="T937" s="148"/>
      <c r="U937" s="148"/>
      <c r="V937" s="148"/>
    </row>
    <row r="938" spans="1:22" s="147" customFormat="1" ht="10.5" customHeight="1" x14ac:dyDescent="0.2">
      <c r="A938" s="145"/>
      <c r="B938" s="145"/>
      <c r="C938" s="145"/>
      <c r="D938" s="146"/>
      <c r="H938" s="148"/>
      <c r="I938" s="148"/>
      <c r="J938" s="148"/>
      <c r="K938" s="148"/>
      <c r="L938" s="148"/>
      <c r="M938" s="148"/>
      <c r="N938" s="148"/>
      <c r="O938" s="148"/>
      <c r="P938" s="148"/>
      <c r="Q938" s="148"/>
      <c r="R938" s="148"/>
      <c r="S938" s="148"/>
      <c r="T938" s="148"/>
      <c r="U938" s="148"/>
      <c r="V938" s="148"/>
    </row>
    <row r="939" spans="1:22" s="147" customFormat="1" ht="10.5" customHeight="1" x14ac:dyDescent="0.2">
      <c r="A939" s="145"/>
      <c r="B939" s="145"/>
      <c r="C939" s="145"/>
      <c r="D939" s="146"/>
      <c r="H939" s="148"/>
      <c r="I939" s="148"/>
      <c r="J939" s="148"/>
      <c r="K939" s="148"/>
      <c r="L939" s="148"/>
      <c r="M939" s="148"/>
      <c r="N939" s="148"/>
      <c r="O939" s="148"/>
      <c r="P939" s="148"/>
      <c r="Q939" s="148"/>
      <c r="R939" s="148"/>
      <c r="S939" s="148"/>
      <c r="T939" s="148"/>
      <c r="U939" s="148"/>
      <c r="V939" s="148"/>
    </row>
    <row r="940" spans="1:22" s="147" customFormat="1" ht="10.5" customHeight="1" x14ac:dyDescent="0.2">
      <c r="A940" s="145"/>
      <c r="B940" s="145"/>
      <c r="C940" s="145"/>
      <c r="D940" s="146"/>
      <c r="H940" s="148"/>
      <c r="I940" s="148"/>
      <c r="J940" s="148"/>
      <c r="K940" s="148"/>
      <c r="L940" s="148"/>
      <c r="M940" s="148"/>
      <c r="N940" s="148"/>
      <c r="O940" s="148"/>
      <c r="P940" s="148"/>
      <c r="Q940" s="148"/>
      <c r="R940" s="148"/>
      <c r="S940" s="148"/>
      <c r="T940" s="148"/>
      <c r="U940" s="148"/>
      <c r="V940" s="148"/>
    </row>
    <row r="941" spans="1:22" s="147" customFormat="1" ht="10.5" customHeight="1" x14ac:dyDescent="0.2">
      <c r="A941" s="145"/>
      <c r="B941" s="145"/>
      <c r="C941" s="145"/>
      <c r="D941" s="146"/>
      <c r="H941" s="148"/>
      <c r="I941" s="148"/>
      <c r="J941" s="148"/>
      <c r="K941" s="148"/>
      <c r="L941" s="148"/>
      <c r="M941" s="148"/>
      <c r="N941" s="148"/>
      <c r="O941" s="148"/>
      <c r="P941" s="148"/>
      <c r="Q941" s="148"/>
      <c r="R941" s="148"/>
      <c r="S941" s="148"/>
      <c r="T941" s="148"/>
      <c r="U941" s="148"/>
      <c r="V941" s="148"/>
    </row>
    <row r="942" spans="1:22" s="147" customFormat="1" ht="10.5" customHeight="1" x14ac:dyDescent="0.2">
      <c r="A942" s="145"/>
      <c r="B942" s="145"/>
      <c r="C942" s="145"/>
      <c r="D942" s="146"/>
      <c r="H942" s="148"/>
      <c r="I942" s="148"/>
      <c r="J942" s="148"/>
      <c r="K942" s="148"/>
      <c r="L942" s="148"/>
      <c r="M942" s="148"/>
      <c r="N942" s="148"/>
      <c r="O942" s="148"/>
      <c r="P942" s="148"/>
      <c r="Q942" s="148"/>
      <c r="R942" s="148"/>
      <c r="S942" s="148"/>
      <c r="T942" s="148"/>
      <c r="U942" s="148"/>
      <c r="V942" s="148"/>
    </row>
    <row r="943" spans="1:22" s="147" customFormat="1" ht="10.5" customHeight="1" x14ac:dyDescent="0.2">
      <c r="A943" s="145"/>
      <c r="B943" s="145"/>
      <c r="C943" s="145"/>
      <c r="D943" s="146"/>
      <c r="H943" s="148"/>
      <c r="I943" s="148"/>
      <c r="J943" s="148"/>
      <c r="K943" s="148"/>
      <c r="L943" s="148"/>
      <c r="M943" s="148"/>
      <c r="N943" s="148"/>
      <c r="O943" s="148"/>
      <c r="P943" s="148"/>
      <c r="Q943" s="148"/>
      <c r="R943" s="148"/>
      <c r="S943" s="148"/>
      <c r="T943" s="148"/>
      <c r="U943" s="148"/>
      <c r="V943" s="148"/>
    </row>
    <row r="944" spans="1:22" s="147" customFormat="1" ht="10.5" customHeight="1" x14ac:dyDescent="0.2">
      <c r="A944" s="145"/>
      <c r="B944" s="145"/>
      <c r="C944" s="145"/>
      <c r="D944" s="146"/>
      <c r="H944" s="148"/>
      <c r="I944" s="148"/>
      <c r="J944" s="148"/>
      <c r="K944" s="148"/>
      <c r="L944" s="148"/>
      <c r="M944" s="148"/>
      <c r="N944" s="148"/>
      <c r="O944" s="148"/>
      <c r="P944" s="148"/>
      <c r="Q944" s="148"/>
      <c r="R944" s="148"/>
      <c r="S944" s="148"/>
      <c r="T944" s="148"/>
      <c r="U944" s="148"/>
      <c r="V944" s="148"/>
    </row>
    <row r="945" spans="1:22" s="147" customFormat="1" ht="10.5" customHeight="1" x14ac:dyDescent="0.2">
      <c r="A945" s="145"/>
      <c r="B945" s="145"/>
      <c r="C945" s="145"/>
      <c r="D945" s="146"/>
      <c r="H945" s="148"/>
      <c r="I945" s="148"/>
      <c r="J945" s="148"/>
      <c r="K945" s="148"/>
      <c r="L945" s="148"/>
      <c r="M945" s="148"/>
      <c r="N945" s="148"/>
      <c r="O945" s="148"/>
      <c r="P945" s="148"/>
      <c r="Q945" s="148"/>
      <c r="R945" s="148"/>
      <c r="S945" s="148"/>
      <c r="T945" s="148"/>
      <c r="U945" s="148"/>
      <c r="V945" s="148"/>
    </row>
    <row r="946" spans="1:22" s="147" customFormat="1" ht="10.5" customHeight="1" x14ac:dyDescent="0.2">
      <c r="A946" s="145"/>
      <c r="B946" s="145"/>
      <c r="C946" s="145"/>
      <c r="D946" s="146"/>
      <c r="H946" s="148"/>
      <c r="I946" s="148"/>
      <c r="J946" s="148"/>
      <c r="K946" s="148"/>
      <c r="L946" s="148"/>
      <c r="M946" s="148"/>
      <c r="N946" s="148"/>
      <c r="O946" s="148"/>
      <c r="P946" s="148"/>
      <c r="Q946" s="148"/>
      <c r="R946" s="148"/>
      <c r="S946" s="148"/>
      <c r="T946" s="148"/>
      <c r="U946" s="148"/>
      <c r="V946" s="148"/>
    </row>
    <row r="947" spans="1:22" s="147" customFormat="1" ht="10.5" customHeight="1" x14ac:dyDescent="0.2">
      <c r="A947" s="145"/>
      <c r="B947" s="145"/>
      <c r="C947" s="145"/>
      <c r="D947" s="146"/>
      <c r="H947" s="148"/>
      <c r="I947" s="148"/>
      <c r="J947" s="148"/>
      <c r="K947" s="148"/>
      <c r="L947" s="148"/>
      <c r="M947" s="148"/>
      <c r="N947" s="148"/>
      <c r="O947" s="148"/>
      <c r="P947" s="148"/>
      <c r="Q947" s="148"/>
      <c r="R947" s="148"/>
      <c r="S947" s="148"/>
      <c r="T947" s="148"/>
      <c r="U947" s="148"/>
      <c r="V947" s="148"/>
    </row>
    <row r="948" spans="1:22" s="147" customFormat="1" ht="10.5" customHeight="1" x14ac:dyDescent="0.2">
      <c r="A948" s="145"/>
      <c r="B948" s="145"/>
      <c r="C948" s="145"/>
      <c r="D948" s="146"/>
      <c r="H948" s="148"/>
      <c r="I948" s="148"/>
      <c r="J948" s="148"/>
      <c r="K948" s="148"/>
      <c r="L948" s="148"/>
      <c r="M948" s="148"/>
      <c r="N948" s="148"/>
      <c r="O948" s="148"/>
      <c r="P948" s="148"/>
      <c r="Q948" s="148"/>
      <c r="R948" s="148"/>
      <c r="S948" s="148"/>
      <c r="T948" s="148"/>
      <c r="U948" s="148"/>
      <c r="V948" s="148"/>
    </row>
    <row r="949" spans="1:22" s="147" customFormat="1" ht="10.5" customHeight="1" x14ac:dyDescent="0.2">
      <c r="A949" s="145"/>
      <c r="B949" s="145"/>
      <c r="C949" s="145"/>
      <c r="D949" s="146"/>
      <c r="H949" s="148"/>
      <c r="I949" s="148"/>
      <c r="J949" s="148"/>
      <c r="K949" s="148"/>
      <c r="L949" s="148"/>
      <c r="M949" s="148"/>
      <c r="N949" s="148"/>
      <c r="O949" s="148"/>
      <c r="P949" s="148"/>
      <c r="Q949" s="148"/>
      <c r="R949" s="148"/>
      <c r="S949" s="148"/>
      <c r="T949" s="148"/>
      <c r="U949" s="148"/>
      <c r="V949" s="148"/>
    </row>
    <row r="950" spans="1:22" s="147" customFormat="1" ht="10.5" customHeight="1" x14ac:dyDescent="0.2">
      <c r="A950" s="145"/>
      <c r="B950" s="145"/>
      <c r="C950" s="145"/>
      <c r="D950" s="146"/>
      <c r="H950" s="148"/>
      <c r="I950" s="148"/>
      <c r="J950" s="148"/>
      <c r="K950" s="148"/>
      <c r="L950" s="148"/>
      <c r="M950" s="148"/>
      <c r="N950" s="148"/>
      <c r="O950" s="148"/>
      <c r="P950" s="148"/>
      <c r="Q950" s="148"/>
      <c r="R950" s="148"/>
      <c r="S950" s="148"/>
      <c r="T950" s="148"/>
      <c r="U950" s="148"/>
      <c r="V950" s="148"/>
    </row>
    <row r="951" spans="1:22" s="147" customFormat="1" ht="10.5" customHeight="1" x14ac:dyDescent="0.2">
      <c r="A951" s="145"/>
      <c r="B951" s="145"/>
      <c r="C951" s="145"/>
      <c r="D951" s="146"/>
      <c r="H951" s="148"/>
      <c r="I951" s="148"/>
      <c r="J951" s="148"/>
      <c r="K951" s="148"/>
      <c r="L951" s="148"/>
      <c r="M951" s="148"/>
      <c r="N951" s="148"/>
      <c r="O951" s="148"/>
      <c r="P951" s="148"/>
      <c r="Q951" s="148"/>
      <c r="R951" s="148"/>
      <c r="S951" s="148"/>
      <c r="T951" s="148"/>
      <c r="U951" s="148"/>
      <c r="V951" s="148"/>
    </row>
    <row r="952" spans="1:22" s="147" customFormat="1" ht="10.5" customHeight="1" x14ac:dyDescent="0.2">
      <c r="A952" s="145"/>
      <c r="B952" s="145"/>
      <c r="C952" s="145"/>
      <c r="D952" s="146"/>
      <c r="H952" s="148"/>
      <c r="I952" s="148"/>
      <c r="J952" s="148"/>
      <c r="K952" s="148"/>
      <c r="L952" s="148"/>
      <c r="M952" s="148"/>
      <c r="N952" s="148"/>
      <c r="O952" s="148"/>
      <c r="P952" s="148"/>
      <c r="Q952" s="148"/>
      <c r="R952" s="148"/>
      <c r="S952" s="148"/>
      <c r="T952" s="148"/>
      <c r="U952" s="148"/>
      <c r="V952" s="148"/>
    </row>
    <row r="953" spans="1:22" s="147" customFormat="1" ht="10.5" customHeight="1" x14ac:dyDescent="0.2">
      <c r="A953" s="145"/>
      <c r="B953" s="145"/>
      <c r="C953" s="145"/>
      <c r="D953" s="146"/>
      <c r="H953" s="148"/>
      <c r="I953" s="148"/>
      <c r="J953" s="148"/>
      <c r="K953" s="148"/>
      <c r="L953" s="148"/>
      <c r="M953" s="148"/>
      <c r="N953" s="148"/>
      <c r="O953" s="148"/>
      <c r="P953" s="148"/>
      <c r="Q953" s="148"/>
      <c r="R953" s="148"/>
      <c r="S953" s="148"/>
      <c r="T953" s="148"/>
      <c r="U953" s="148"/>
      <c r="V953" s="148"/>
    </row>
  </sheetData>
  <autoFilter ref="A1:A2" xr:uid="{00000000-0009-0000-0000-000002000000}"/>
  <mergeCells count="47">
    <mergeCell ref="L3:O3"/>
    <mergeCell ref="R3:U3"/>
    <mergeCell ref="R4:U4"/>
    <mergeCell ref="R5:U5"/>
    <mergeCell ref="L6:O6"/>
    <mergeCell ref="R6:U6"/>
    <mergeCell ref="L4:O4"/>
    <mergeCell ref="L5:O5"/>
    <mergeCell ref="L7:O7"/>
    <mergeCell ref="L9:O9"/>
    <mergeCell ref="L8:O8"/>
    <mergeCell ref="R7:U7"/>
    <mergeCell ref="R8:U8"/>
    <mergeCell ref="R9:U9"/>
    <mergeCell ref="R11:U11"/>
    <mergeCell ref="I13:J13"/>
    <mergeCell ref="I10:J10"/>
    <mergeCell ref="I12:J12"/>
    <mergeCell ref="D15:W15"/>
    <mergeCell ref="R13:S13"/>
    <mergeCell ref="T13:U13"/>
    <mergeCell ref="L11:O11"/>
    <mergeCell ref="L10:O10"/>
    <mergeCell ref="R10:U10"/>
    <mergeCell ref="T12:U12"/>
    <mergeCell ref="G12:H12"/>
    <mergeCell ref="M12:N12"/>
    <mergeCell ref="K12:L13"/>
    <mergeCell ref="M13:N13"/>
    <mergeCell ref="R12:S12"/>
    <mergeCell ref="D83:W83"/>
    <mergeCell ref="D48:W48"/>
    <mergeCell ref="D386:W386"/>
    <mergeCell ref="D171:W171"/>
    <mergeCell ref="D474:W474"/>
    <mergeCell ref="D415:W415"/>
    <mergeCell ref="D536:W536"/>
    <mergeCell ref="D238:W238"/>
    <mergeCell ref="D328:W328"/>
    <mergeCell ref="D110:W110"/>
    <mergeCell ref="D266:W266"/>
    <mergeCell ref="D201:W201"/>
    <mergeCell ref="D445:W445"/>
    <mergeCell ref="D507:W507"/>
    <mergeCell ref="D137:W137"/>
    <mergeCell ref="D359:W359"/>
    <mergeCell ref="D297:W297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1" orientation="portrait" r:id="rId1"/>
  <headerFooter alignWithMargins="0">
    <oddHeader xml:space="preserve">&amp;L&amp;D&amp;C&amp;"Tahoma,Fett"&amp;18Bundesliga 2023/2024&amp;R&amp;"Sparkasse Rg,Fett"&amp;12 &amp;F&amp;"Arial,Standard"&amp;10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M102"/>
  <sheetViews>
    <sheetView showGridLines="0" topLeftCell="A11" zoomScaleNormal="100" workbookViewId="0">
      <selection activeCell="G45" sqref="G45"/>
    </sheetView>
  </sheetViews>
  <sheetFormatPr baseColWidth="10" defaultColWidth="11.42578125" defaultRowHeight="11.25" customHeight="1" x14ac:dyDescent="0.2"/>
  <cols>
    <col min="1" max="1" width="3.28515625" style="26" customWidth="1"/>
    <col min="2" max="2" width="1.140625" style="26" customWidth="1"/>
    <col min="3" max="3" width="16.140625" style="26" customWidth="1"/>
    <col min="4" max="4" width="11.7109375" style="26" customWidth="1"/>
    <col min="5" max="5" width="4.7109375" style="49" customWidth="1"/>
    <col min="6" max="6" width="1.140625" style="26" customWidth="1"/>
    <col min="7" max="7" width="16.140625" style="26" customWidth="1"/>
    <col min="8" max="8" width="11.7109375" style="26" customWidth="1"/>
    <col min="9" max="9" width="4.7109375" style="49" customWidth="1"/>
    <col min="10" max="10" width="1.140625" style="26" customWidth="1"/>
    <col min="11" max="11" width="16.140625" style="26" customWidth="1"/>
    <col min="12" max="12" width="11.7109375" style="26" customWidth="1"/>
    <col min="13" max="13" width="4.7109375" style="49" customWidth="1"/>
    <col min="14" max="16384" width="11.42578125" style="26"/>
  </cols>
  <sheetData>
    <row r="1" spans="1:13" s="23" customFormat="1" ht="11.25" customHeight="1" x14ac:dyDescent="0.2">
      <c r="B1" s="24"/>
      <c r="C1" s="236" t="s">
        <v>40</v>
      </c>
      <c r="D1" s="237"/>
      <c r="E1" s="238"/>
      <c r="F1" s="25"/>
      <c r="G1" s="236" t="s">
        <v>41</v>
      </c>
      <c r="H1" s="237"/>
      <c r="I1" s="238"/>
      <c r="J1" s="25"/>
      <c r="K1" s="236" t="s">
        <v>102</v>
      </c>
      <c r="L1" s="237"/>
      <c r="M1" s="242"/>
    </row>
    <row r="2" spans="1:13" ht="11.25" customHeight="1" thickBot="1" x14ac:dyDescent="0.25">
      <c r="B2" s="27"/>
      <c r="C2" s="239"/>
      <c r="D2" s="240"/>
      <c r="E2" s="241"/>
      <c r="F2" s="28"/>
      <c r="G2" s="239"/>
      <c r="H2" s="240"/>
      <c r="I2" s="241"/>
      <c r="J2" s="28"/>
      <c r="K2" s="239"/>
      <c r="L2" s="240"/>
      <c r="M2" s="241"/>
    </row>
    <row r="3" spans="1:13" s="33" customFormat="1" ht="11.25" customHeight="1" x14ac:dyDescent="0.2">
      <c r="A3" s="29"/>
      <c r="B3" s="29"/>
      <c r="C3" s="30" t="s">
        <v>92</v>
      </c>
      <c r="D3" s="31">
        <f>[2]Paulo!$B$3</f>
        <v>3</v>
      </c>
      <c r="E3" s="32" t="s">
        <v>6</v>
      </c>
      <c r="F3" s="29"/>
      <c r="G3" s="30" t="s">
        <v>92</v>
      </c>
      <c r="H3" s="31">
        <f>'[2]Bax de Luxe'!$B$3</f>
        <v>8</v>
      </c>
      <c r="I3" s="32" t="s">
        <v>6</v>
      </c>
      <c r="J3" s="29"/>
      <c r="K3" s="30" t="s">
        <v>92</v>
      </c>
      <c r="L3" s="31">
        <f>[2]Nobody!$B$3</f>
        <v>3</v>
      </c>
      <c r="M3" s="32" t="s">
        <v>6</v>
      </c>
    </row>
    <row r="4" spans="1:13" ht="11.25" customHeight="1" x14ac:dyDescent="0.2">
      <c r="A4" s="34"/>
      <c r="B4" s="34"/>
      <c r="C4" s="35"/>
      <c r="E4" s="36"/>
      <c r="F4" s="34"/>
      <c r="G4" s="35"/>
      <c r="I4" s="36"/>
      <c r="J4" s="34"/>
      <c r="K4" s="35"/>
      <c r="M4" s="36"/>
    </row>
    <row r="5" spans="1:13" ht="11.25" customHeight="1" x14ac:dyDescent="0.2">
      <c r="A5" s="37" t="s">
        <v>42</v>
      </c>
      <c r="B5" s="38">
        <v>1</v>
      </c>
      <c r="C5" s="114" t="str">
        <f>VLOOKUP(B5,Spieltag!$K$2:$AB$1575,18,0)</f>
        <v>Noah Atubolu</v>
      </c>
      <c r="D5" s="115" t="str">
        <f>VLOOKUP(C5,Auswertung!$D$15:$F$1466,3,0)</f>
        <v>Freiburg</v>
      </c>
      <c r="E5" s="116">
        <f>VLOOKUP(C5,Auswertung!$D$15:$W$1466,20,0)</f>
        <v>0</v>
      </c>
      <c r="F5" s="39">
        <v>1</v>
      </c>
      <c r="G5" s="114" t="str">
        <f>VLOOKUP(F5,Spieltag!$L$2:$AB$1575,17,0)</f>
        <v>Manuel Neuer</v>
      </c>
      <c r="H5" s="115" t="str">
        <f>VLOOKUP(G5,Auswertung!$D$15:$F$1466,3,0)</f>
        <v>München</v>
      </c>
      <c r="I5" s="116">
        <f>VLOOKUP(G5,Auswertung!$D$15:$W$1466,20,0)</f>
        <v>-10</v>
      </c>
      <c r="J5" s="39">
        <v>1</v>
      </c>
      <c r="K5" s="114" t="str">
        <f>VLOOKUP(J5,Spieltag!$M$2:$AB$1575,16,0)</f>
        <v>Manuel Neuer</v>
      </c>
      <c r="L5" s="115" t="str">
        <f>VLOOKUP(K5,Auswertung!$D$15:$F$1466,3,0)</f>
        <v>München</v>
      </c>
      <c r="M5" s="116">
        <f>VLOOKUP(K5,Auswertung!$D$15:$W$1466,20,0)</f>
        <v>-10</v>
      </c>
    </row>
    <row r="6" spans="1:13" ht="11.25" customHeight="1" x14ac:dyDescent="0.2">
      <c r="A6" s="40" t="s">
        <v>43</v>
      </c>
      <c r="B6" s="38">
        <v>2</v>
      </c>
      <c r="C6" s="117" t="str">
        <f>VLOOKUP(B6,Spieltag!$K$2:$AB$1575,18,0)</f>
        <v>Marius Wolf</v>
      </c>
      <c r="D6" s="118" t="str">
        <f>VLOOKUP(C6,Auswertung!$D$15:$F$1466,3,0)</f>
        <v>Dortmund</v>
      </c>
      <c r="E6" s="119">
        <f>VLOOKUP(C6,Auswertung!$D$15:$W$1466,20,0)</f>
        <v>85</v>
      </c>
      <c r="F6" s="39">
        <v>2</v>
      </c>
      <c r="G6" s="117" t="str">
        <f>VLOOKUP(F6,Spieltag!$L$2:$AB$1575,17,0)</f>
        <v>Christian Günter</v>
      </c>
      <c r="H6" s="118" t="str">
        <f>VLOOKUP(G6,Auswertung!$D$15:$F$1466,3,0)</f>
        <v>Freiburg</v>
      </c>
      <c r="I6" s="119">
        <f>VLOOKUP(G6,Auswertung!$D$15:$W$1466,20,0)</f>
        <v>0</v>
      </c>
      <c r="J6" s="39">
        <v>2</v>
      </c>
      <c r="K6" s="117" t="str">
        <f>VLOOKUP(J6,Spieltag!$M$2:$AB$1575,16,0)</f>
        <v>Willi Orban</v>
      </c>
      <c r="L6" s="118" t="str">
        <f>VLOOKUP(K6,Auswertung!$D$15:$F$1466,3,0)</f>
        <v>Leipzig</v>
      </c>
      <c r="M6" s="119">
        <f>VLOOKUP(K6,Auswertung!$D$15:$W$1466,20,0)</f>
        <v>20</v>
      </c>
    </row>
    <row r="7" spans="1:13" ht="11.25" customHeight="1" x14ac:dyDescent="0.2">
      <c r="A7" s="41"/>
      <c r="B7" s="27">
        <v>3</v>
      </c>
      <c r="C7" s="117" t="str">
        <f>VLOOKUP(B7,Spieltag!$K$2:$AB$1575,18,0)</f>
        <v>Jonathan Tah</v>
      </c>
      <c r="D7" s="118" t="str">
        <f>VLOOKUP(C7,Auswertung!$D$15:$F$1466,3,0)</f>
        <v>Leverkusen</v>
      </c>
      <c r="E7" s="119">
        <f>VLOOKUP(C7,Auswertung!$D$15:$W$1466,20,0)</f>
        <v>40</v>
      </c>
      <c r="F7" s="42">
        <v>3</v>
      </c>
      <c r="G7" s="117" t="str">
        <f>VLOOKUP(F7,Spieltag!$L$2:$AB$1575,17,0)</f>
        <v>Maximilian Mittelstädt</v>
      </c>
      <c r="H7" s="118" t="str">
        <f>VLOOKUP(G7,Auswertung!$D$15:$F$1466,3,0)</f>
        <v>Stuttgart</v>
      </c>
      <c r="I7" s="119">
        <f>VLOOKUP(G7,Auswertung!$D$15:$W$1466,20,0)</f>
        <v>85</v>
      </c>
      <c r="J7" s="42">
        <v>3</v>
      </c>
      <c r="K7" s="117" t="str">
        <f>VLOOKUP(J7,Spieltag!$M$2:$AB$1575,16,0)</f>
        <v>Nico Schlotterbeck</v>
      </c>
      <c r="L7" s="118" t="str">
        <f>VLOOKUP(K7,Auswertung!$D$15:$F$1466,3,0)</f>
        <v>Dortmund</v>
      </c>
      <c r="M7" s="119">
        <f>VLOOKUP(K7,Auswertung!$D$15:$W$1466,20,0)</f>
        <v>85</v>
      </c>
    </row>
    <row r="8" spans="1:13" ht="11.25" customHeight="1" x14ac:dyDescent="0.2">
      <c r="A8" s="41"/>
      <c r="B8" s="27">
        <v>4</v>
      </c>
      <c r="C8" s="117" t="str">
        <f>VLOOKUP(B8,Spieltag!$K$2:$AB$1575,18,0)</f>
        <v>Christian Günter</v>
      </c>
      <c r="D8" s="118" t="str">
        <f>VLOOKUP(C8,Auswertung!$D$15:$F$1466,3,0)</f>
        <v>Freiburg</v>
      </c>
      <c r="E8" s="119">
        <f>VLOOKUP(C8,Auswertung!$D$15:$W$1466,20,0)</f>
        <v>0</v>
      </c>
      <c r="F8" s="42">
        <v>4</v>
      </c>
      <c r="G8" s="117" t="str">
        <f>VLOOKUP(F8,Spieltag!$L$2:$AB$1575,17,0)</f>
        <v>Willi Orban</v>
      </c>
      <c r="H8" s="118" t="str">
        <f>VLOOKUP(G8,Auswertung!$D$15:$F$1466,3,0)</f>
        <v>Leipzig</v>
      </c>
      <c r="I8" s="119">
        <f>VLOOKUP(G8,Auswertung!$D$15:$W$1466,20,0)</f>
        <v>20</v>
      </c>
      <c r="J8" s="42">
        <v>4</v>
      </c>
      <c r="K8" s="117" t="str">
        <f>VLOOKUP(J8,Spieltag!$M$2:$AB$1575,16,0)</f>
        <v>Jonathan Tah</v>
      </c>
      <c r="L8" s="118" t="str">
        <f>VLOOKUP(K8,Auswertung!$D$15:$F$1466,3,0)</f>
        <v>Leverkusen</v>
      </c>
      <c r="M8" s="119">
        <f>VLOOKUP(K8,Auswertung!$D$15:$W$1466,20,0)</f>
        <v>40</v>
      </c>
    </row>
    <row r="9" spans="1:13" ht="11.25" customHeight="1" x14ac:dyDescent="0.2">
      <c r="A9" s="43" t="s">
        <v>44</v>
      </c>
      <c r="B9" s="38">
        <v>5</v>
      </c>
      <c r="C9" s="120" t="str">
        <f>VLOOKUP(B9,Spieltag!$K$2:$AB$1575,18,0)</f>
        <v>Jae-Sung Lee</v>
      </c>
      <c r="D9" s="121" t="str">
        <f>VLOOKUP(C9,Auswertung!$D$15:$F$1466,3,0)</f>
        <v>Mainz</v>
      </c>
      <c r="E9" s="122">
        <f>VLOOKUP(C9,Auswertung!$D$15:$W$1466,20,0)</f>
        <v>40</v>
      </c>
      <c r="F9" s="39">
        <v>5</v>
      </c>
      <c r="G9" s="120" t="str">
        <f>VLOOKUP(F9,Spieltag!$L$2:$AB$1575,17,0)</f>
        <v>Maximilian Eggestein</v>
      </c>
      <c r="H9" s="121" t="str">
        <f>VLOOKUP(G9,Auswertung!$D$15:$F$1466,3,0)</f>
        <v>Freiburg</v>
      </c>
      <c r="I9" s="122">
        <f>VLOOKUP(G9,Auswertung!$D$15:$W$1466,20,0)</f>
        <v>-10</v>
      </c>
      <c r="J9" s="39">
        <v>5</v>
      </c>
      <c r="K9" s="120" t="str">
        <f>VLOOKUP(J9,Spieltag!$M$2:$AB$1575,16,0)</f>
        <v>Leandro Barreiro (A)</v>
      </c>
      <c r="L9" s="121" t="str">
        <f>VLOOKUP(K9,Auswertung!$D$15:$F$1466,3,0)</f>
        <v>Mainz</v>
      </c>
      <c r="M9" s="122">
        <f>VLOOKUP(K9,Auswertung!$D$15:$W$1466,20,0)</f>
        <v>50</v>
      </c>
    </row>
    <row r="10" spans="1:13" ht="11.25" customHeight="1" x14ac:dyDescent="0.2">
      <c r="A10" s="43"/>
      <c r="B10" s="38">
        <v>6</v>
      </c>
      <c r="C10" s="120" t="str">
        <f>VLOOKUP(B10,Spieltag!$K$2:$AB$1575,18,0)</f>
        <v>Marco Reus</v>
      </c>
      <c r="D10" s="121" t="str">
        <f>VLOOKUP(C10,Auswertung!$D$15:$F$1466,3,0)</f>
        <v>Dortmund</v>
      </c>
      <c r="E10" s="122">
        <f>VLOOKUP(C10,Auswertung!$D$15:$W$1466,20,0)</f>
        <v>90</v>
      </c>
      <c r="F10" s="39">
        <v>6</v>
      </c>
      <c r="G10" s="120" t="str">
        <f>VLOOKUP(F10,Spieltag!$L$2:$AB$1575,17,0)</f>
        <v>Aleksandar Pavlovic</v>
      </c>
      <c r="H10" s="121" t="str">
        <f>VLOOKUP(G10,Auswertung!$D$15:$F$1466,3,0)</f>
        <v>München</v>
      </c>
      <c r="I10" s="122">
        <f>VLOOKUP(G10,Auswertung!$D$15:$W$1466,20,0)</f>
        <v>-10</v>
      </c>
      <c r="J10" s="39">
        <v>6</v>
      </c>
      <c r="K10" s="120" t="str">
        <f>VLOOKUP(J10,Spieltag!$M$2:$AB$1575,16,0)</f>
        <v>Jonas Hofmann</v>
      </c>
      <c r="L10" s="121" t="str">
        <f>VLOOKUP(K10,Auswertung!$D$15:$F$1466,3,0)</f>
        <v>Leverkusen</v>
      </c>
      <c r="M10" s="122">
        <f>VLOOKUP(K10,Auswertung!$D$15:$W$1466,20,0)</f>
        <v>40</v>
      </c>
    </row>
    <row r="11" spans="1:13" ht="11.25" customHeight="1" x14ac:dyDescent="0.2">
      <c r="A11" s="44"/>
      <c r="B11" s="27">
        <v>7</v>
      </c>
      <c r="C11" s="120" t="str">
        <f>VLOOKUP(B11,Spieltag!$K$2:$AB$1575,18,0)</f>
        <v>Mitchell Weiser</v>
      </c>
      <c r="D11" s="121" t="str">
        <f>VLOOKUP(C11,Auswertung!$D$15:$F$1466,3,0)</f>
        <v>Bremen</v>
      </c>
      <c r="E11" s="122">
        <f>VLOOKUP(C11,Auswertung!$D$15:$W$1466,20,0)</f>
        <v>60</v>
      </c>
      <c r="F11" s="42">
        <v>7</v>
      </c>
      <c r="G11" s="120" t="str">
        <f>VLOOKUP(F11,Spieltag!$L$2:$AB$1575,17,0)</f>
        <v>Jonas Hofmann</v>
      </c>
      <c r="H11" s="121" t="str">
        <f>VLOOKUP(G11,Auswertung!$D$15:$F$1466,3,0)</f>
        <v>Leverkusen</v>
      </c>
      <c r="I11" s="122">
        <f>VLOOKUP(G11,Auswertung!$D$15:$W$1466,20,0)</f>
        <v>40</v>
      </c>
      <c r="J11" s="42">
        <v>7</v>
      </c>
      <c r="K11" s="120" t="str">
        <f>VLOOKUP(J11,Spieltag!$M$2:$AB$1575,16,0)</f>
        <v>Leon Goretzka</v>
      </c>
      <c r="L11" s="121" t="str">
        <f>VLOOKUP(K11,Auswertung!$D$15:$F$1466,3,0)</f>
        <v>München</v>
      </c>
      <c r="M11" s="122">
        <f>VLOOKUP(K11,Auswertung!$D$15:$W$1466,20,0)</f>
        <v>-10</v>
      </c>
    </row>
    <row r="12" spans="1:13" ht="11.25" customHeight="1" x14ac:dyDescent="0.2">
      <c r="A12" s="44"/>
      <c r="B12" s="27">
        <v>8</v>
      </c>
      <c r="C12" s="120" t="str">
        <f>VLOOKUP(B12,Spieltag!$K$2:$AB$1575,18,0)</f>
        <v>Chris Führich</v>
      </c>
      <c r="D12" s="121" t="str">
        <f>VLOOKUP(C12,Auswertung!$D$15:$F$1466,3,0)</f>
        <v>Stuttgart</v>
      </c>
      <c r="E12" s="122">
        <f>VLOOKUP(C12,Auswertung!$D$15:$W$1466,20,0)</f>
        <v>80</v>
      </c>
      <c r="F12" s="42">
        <v>8</v>
      </c>
      <c r="G12" s="120" t="str">
        <f>VLOOKUP(F12,Spieltag!$L$2:$AB$1575,17,0)</f>
        <v>Marco Reus</v>
      </c>
      <c r="H12" s="121" t="str">
        <f>VLOOKUP(G12,Auswertung!$D$15:$F$1466,3,0)</f>
        <v>Dortmund</v>
      </c>
      <c r="I12" s="122">
        <f>VLOOKUP(G12,Auswertung!$D$15:$W$1466,20,0)</f>
        <v>90</v>
      </c>
      <c r="J12" s="42">
        <v>8</v>
      </c>
      <c r="K12" s="120" t="str">
        <f>VLOOKUP(J12,Spieltag!$M$2:$AB$1575,16,0)</f>
        <v>Marco Reus</v>
      </c>
      <c r="L12" s="121" t="str">
        <f>VLOOKUP(K12,Auswertung!$D$15:$F$1466,3,0)</f>
        <v>Dortmund</v>
      </c>
      <c r="M12" s="122">
        <f>VLOOKUP(K12,Auswertung!$D$15:$W$1466,20,0)</f>
        <v>90</v>
      </c>
    </row>
    <row r="13" spans="1:13" ht="11.25" customHeight="1" x14ac:dyDescent="0.2">
      <c r="A13" s="45" t="s">
        <v>45</v>
      </c>
      <c r="B13" s="38">
        <v>9</v>
      </c>
      <c r="C13" s="123" t="str">
        <f>VLOOKUP(B13,Spieltag!$K$2:$AB$1575,18,0)</f>
        <v>Victor Boniface (A)</v>
      </c>
      <c r="D13" s="124" t="str">
        <f>VLOOKUP(C13,Auswertung!$D$15:$F$1466,3,0)</f>
        <v>Leverkusen</v>
      </c>
      <c r="E13" s="125">
        <f>VLOOKUP(C13,Auswertung!$D$15:$W$1466,20,0)</f>
        <v>50</v>
      </c>
      <c r="F13" s="39">
        <v>9</v>
      </c>
      <c r="G13" s="123" t="str">
        <f>VLOOKUP(F13,Spieltag!$L$2:$AB$1575,17,0)</f>
        <v>Patrick Schick (A)</v>
      </c>
      <c r="H13" s="124" t="str">
        <f>VLOOKUP(G13,Auswertung!$D$15:$F$1466,3,0)</f>
        <v>Leverkusen</v>
      </c>
      <c r="I13" s="125">
        <f>VLOOKUP(G13,Auswertung!$D$15:$W$1466,20,0)</f>
        <v>40</v>
      </c>
      <c r="J13" s="39">
        <v>9</v>
      </c>
      <c r="K13" s="123" t="str">
        <f>VLOOKUP(J13,Spieltag!$M$2:$AB$1575,16,0)</f>
        <v>Michael Gregoritsch (A)</v>
      </c>
      <c r="L13" s="124" t="str">
        <f>VLOOKUP(K13,Auswertung!$D$15:$F$1466,3,0)</f>
        <v>Freiburg</v>
      </c>
      <c r="M13" s="125">
        <f>VLOOKUP(K13,Auswertung!$D$15:$W$1466,20,0)</f>
        <v>0</v>
      </c>
    </row>
    <row r="14" spans="1:13" ht="11.25" customHeight="1" x14ac:dyDescent="0.2">
      <c r="A14" s="46"/>
      <c r="B14" s="27">
        <v>10</v>
      </c>
      <c r="C14" s="123" t="str">
        <f>VLOOKUP(B14,Spieltag!$K$2:$AB$1575,18,0)</f>
        <v>Loїs Openda (A)</v>
      </c>
      <c r="D14" s="124" t="str">
        <f>VLOOKUP(C14,Auswertung!$D$15:$F$1466,3,0)</f>
        <v>Leipzig</v>
      </c>
      <c r="E14" s="125">
        <f>VLOOKUP(C14,Auswertung!$D$15:$W$1466,20,0)</f>
        <v>20</v>
      </c>
      <c r="F14" s="42">
        <v>10</v>
      </c>
      <c r="G14" s="123" t="str">
        <f>VLOOKUP(F14,Spieltag!$L$2:$AB$1575,17,0)</f>
        <v>Loїs Openda (A)</v>
      </c>
      <c r="H14" s="124" t="str">
        <f>VLOOKUP(G14,Auswertung!$D$15:$F$1466,3,0)</f>
        <v>Leipzig</v>
      </c>
      <c r="I14" s="125">
        <f>VLOOKUP(G14,Auswertung!$D$15:$W$1466,20,0)</f>
        <v>20</v>
      </c>
      <c r="J14" s="42">
        <v>10</v>
      </c>
      <c r="K14" s="123" t="str">
        <f>VLOOKUP(J14,Spieltag!$M$2:$AB$1575,16,0)</f>
        <v>Serhou Guirassy (A)</v>
      </c>
      <c r="L14" s="124" t="str">
        <f>VLOOKUP(K14,Auswertung!$D$15:$F$1466,3,0)</f>
        <v>Stuttgart</v>
      </c>
      <c r="M14" s="125">
        <f>VLOOKUP(K14,Auswertung!$D$15:$W$1466,20,0)</f>
        <v>105</v>
      </c>
    </row>
    <row r="15" spans="1:13" ht="11.25" customHeight="1" x14ac:dyDescent="0.2">
      <c r="A15" s="46"/>
      <c r="B15" s="27">
        <v>11</v>
      </c>
      <c r="C15" s="123" t="str">
        <f>VLOOKUP(B15,Spieltag!$K$2:$AB$1575,18,0)</f>
        <v>Serhou Guirassy (A)</v>
      </c>
      <c r="D15" s="124" t="str">
        <f>VLOOKUP(C15,Auswertung!$D$15:$F$1466,3,0)</f>
        <v>Stuttgart</v>
      </c>
      <c r="E15" s="125">
        <f>VLOOKUP(C15,Auswertung!$D$15:$W$1466,20,0)</f>
        <v>105</v>
      </c>
      <c r="F15" s="42">
        <v>11</v>
      </c>
      <c r="G15" s="123" t="str">
        <f>VLOOKUP(F15,Spieltag!$L$2:$AB$1575,17,0)</f>
        <v>Serhou Guirassy (A)</v>
      </c>
      <c r="H15" s="124" t="str">
        <f>VLOOKUP(G15,Auswertung!$D$15:$F$1466,3,0)</f>
        <v>Stuttgart</v>
      </c>
      <c r="I15" s="125">
        <f>VLOOKUP(G15,Auswertung!$D$15:$W$1466,20,0)</f>
        <v>105</v>
      </c>
      <c r="J15" s="42">
        <v>11</v>
      </c>
      <c r="K15" s="123" t="str">
        <f>VLOOKUP(J15,Spieltag!$M$2:$AB$1575,16,0)</f>
        <v>Deniz Undav</v>
      </c>
      <c r="L15" s="124" t="str">
        <f>VLOOKUP(K15,Auswertung!$D$15:$F$1466,3,0)</f>
        <v>Stuttgart</v>
      </c>
      <c r="M15" s="125">
        <f>VLOOKUP(K15,Auswertung!$D$15:$W$1466,20,0)</f>
        <v>65</v>
      </c>
    </row>
    <row r="16" spans="1:13" ht="11.25" customHeight="1" thickBot="1" x14ac:dyDescent="0.25">
      <c r="E16" s="47">
        <f>SUM(E5:E15)</f>
        <v>570</v>
      </c>
      <c r="G16" s="208"/>
      <c r="I16" s="47">
        <f>SUM(I5:I15)</f>
        <v>370</v>
      </c>
      <c r="M16" s="47">
        <f>SUM(M5:M15)</f>
        <v>475</v>
      </c>
    </row>
    <row r="17" spans="1:13" ht="11.25" customHeight="1" x14ac:dyDescent="0.2">
      <c r="G17" s="208"/>
    </row>
    <row r="18" spans="1:13" s="23" customFormat="1" ht="11.25" customHeight="1" x14ac:dyDescent="0.2">
      <c r="B18" s="25"/>
      <c r="C18" s="236" t="s">
        <v>51</v>
      </c>
      <c r="D18" s="237"/>
      <c r="E18" s="238"/>
      <c r="G18" s="236" t="s">
        <v>52</v>
      </c>
      <c r="H18" s="237"/>
      <c r="I18" s="238"/>
      <c r="J18" s="25"/>
      <c r="K18" s="236" t="s">
        <v>53</v>
      </c>
      <c r="L18" s="237"/>
      <c r="M18" s="238"/>
    </row>
    <row r="19" spans="1:13" ht="11.25" customHeight="1" thickBot="1" x14ac:dyDescent="0.25">
      <c r="B19" s="28"/>
      <c r="C19" s="239"/>
      <c r="D19" s="240"/>
      <c r="E19" s="241"/>
      <c r="G19" s="239"/>
      <c r="H19" s="240"/>
      <c r="I19" s="241"/>
      <c r="J19" s="28"/>
      <c r="K19" s="239"/>
      <c r="L19" s="240"/>
      <c r="M19" s="241"/>
    </row>
    <row r="20" spans="1:13" s="33" customFormat="1" ht="11.25" customHeight="1" x14ac:dyDescent="0.2">
      <c r="A20" s="29"/>
      <c r="B20" s="29"/>
      <c r="C20" s="30" t="s">
        <v>92</v>
      </c>
      <c r="D20" s="31">
        <f>'[2]Pinguins on Fire'!$B$3</f>
        <v>3</v>
      </c>
      <c r="E20" s="32" t="s">
        <v>6</v>
      </c>
      <c r="F20" s="29"/>
      <c r="G20" s="30" t="s">
        <v>92</v>
      </c>
      <c r="H20" s="31">
        <f>[2]Pitti!$B$3</f>
        <v>4</v>
      </c>
      <c r="I20" s="32" t="s">
        <v>6</v>
      </c>
      <c r="J20" s="29"/>
      <c r="K20" s="30" t="s">
        <v>92</v>
      </c>
      <c r="L20" s="31">
        <f>[2]Himmelfahrtskommando!$B$3</f>
        <v>3</v>
      </c>
      <c r="M20" s="32" t="s">
        <v>6</v>
      </c>
    </row>
    <row r="21" spans="1:13" ht="11.25" customHeight="1" x14ac:dyDescent="0.2">
      <c r="A21" s="34"/>
      <c r="B21" s="34"/>
      <c r="C21" s="35"/>
      <c r="E21" s="36"/>
      <c r="F21" s="34"/>
      <c r="G21" s="35"/>
      <c r="I21" s="36"/>
      <c r="J21" s="34"/>
      <c r="K21" s="35"/>
      <c r="M21" s="36"/>
    </row>
    <row r="22" spans="1:13" ht="11.25" customHeight="1" x14ac:dyDescent="0.2">
      <c r="A22" s="37" t="s">
        <v>42</v>
      </c>
      <c r="B22" s="39">
        <v>1</v>
      </c>
      <c r="C22" s="114" t="str">
        <f>VLOOKUP(B22,Spieltag!$N$2:$AB$1575,15,0)</f>
        <v>Manuel Neuer</v>
      </c>
      <c r="D22" s="115" t="str">
        <f>VLOOKUP(C22,Auswertung!$D$15:$F$1466,3,0)</f>
        <v>München</v>
      </c>
      <c r="E22" s="116">
        <f>VLOOKUP(C22,Auswertung!$D$15:$W$1466,20,0)</f>
        <v>-10</v>
      </c>
      <c r="F22" s="38">
        <v>1</v>
      </c>
      <c r="G22" s="114" t="str">
        <f>VLOOKUP(F22,Spieltag!$O$2:$AB$1575,14,0)</f>
        <v>Oliver Baumann</v>
      </c>
      <c r="H22" s="115" t="str">
        <f>VLOOKUP(G22,Auswertung!$D$15:$F$1466,3,0)</f>
        <v>Hoffenheim</v>
      </c>
      <c r="I22" s="116">
        <f>VLOOKUP(G22,Auswertung!$D$15:$W$1466,20,0)</f>
        <v>50</v>
      </c>
      <c r="J22" s="39">
        <v>1</v>
      </c>
      <c r="K22" s="114" t="str">
        <f>VLOOKUP(J22,Spieltag!$P$2:$AB$1575,13,0)</f>
        <v>Robin Zentner</v>
      </c>
      <c r="L22" s="115" t="str">
        <f>VLOOKUP(K22,Auswertung!$D$15:$F$1466,3,0)</f>
        <v>Mainz</v>
      </c>
      <c r="M22" s="116">
        <f>VLOOKUP(K22,Auswertung!$D$15:$W$1466,20,0)</f>
        <v>50</v>
      </c>
    </row>
    <row r="23" spans="1:13" ht="11.25" customHeight="1" x14ac:dyDescent="0.2">
      <c r="A23" s="40" t="s">
        <v>43</v>
      </c>
      <c r="B23" s="39">
        <v>2</v>
      </c>
      <c r="C23" s="117" t="str">
        <f>VLOOKUP(B23,Spieltag!$N$2:$AB$1575,15,0)</f>
        <v>Waldemar Anton</v>
      </c>
      <c r="D23" s="118" t="str">
        <f>VLOOKUP(C23,Auswertung!$D$15:$F$1466,3,0)</f>
        <v>Stuttgart</v>
      </c>
      <c r="E23" s="119">
        <f>VLOOKUP(C23,Auswertung!$D$15:$W$1466,20,0)</f>
        <v>85</v>
      </c>
      <c r="F23" s="38">
        <v>2</v>
      </c>
      <c r="G23" s="117" t="str">
        <f>VLOOKUP(F23,Spieltag!$O$2:$AB$1575,14,0)</f>
        <v>David Raum</v>
      </c>
      <c r="H23" s="118" t="str">
        <f>VLOOKUP(G23,Auswertung!$D$15:$F$1466,3,0)</f>
        <v>Leipzig</v>
      </c>
      <c r="I23" s="119">
        <f>VLOOKUP(G23,Auswertung!$D$15:$W$1466,20,0)</f>
        <v>0</v>
      </c>
      <c r="J23" s="39">
        <v>2</v>
      </c>
      <c r="K23" s="117" t="str">
        <f>VLOOKUP(J23,Spieltag!$P$2:$AB$1575,13,0)</f>
        <v>David Raum</v>
      </c>
      <c r="L23" s="118" t="str">
        <f>VLOOKUP(K23,Auswertung!$D$15:$F$1466,3,0)</f>
        <v>Leipzig</v>
      </c>
      <c r="M23" s="119">
        <f>VLOOKUP(K23,Auswertung!$D$15:$W$1466,20,0)</f>
        <v>0</v>
      </c>
    </row>
    <row r="24" spans="1:13" ht="11.25" customHeight="1" x14ac:dyDescent="0.2">
      <c r="A24" s="41"/>
      <c r="B24" s="42">
        <v>3</v>
      </c>
      <c r="C24" s="117" t="str">
        <f>VLOOKUP(B24,Spieltag!$N$2:$AB$1575,15,0)</f>
        <v>Piero Hincapie (A)</v>
      </c>
      <c r="D24" s="118" t="str">
        <f>VLOOKUP(C24,Auswertung!$D$15:$F$1466,3,0)</f>
        <v>Leverkusen</v>
      </c>
      <c r="E24" s="119">
        <f>VLOOKUP(C24,Auswertung!$D$15:$W$1466,20,0)</f>
        <v>40</v>
      </c>
      <c r="F24" s="27">
        <v>3</v>
      </c>
      <c r="G24" s="117" t="str">
        <f>VLOOKUP(F24,Spieltag!$O$2:$AB$1575,14,0)</f>
        <v>Mitchell Weiser</v>
      </c>
      <c r="H24" s="118" t="str">
        <f>VLOOKUP(G24,Auswertung!$D$15:$F$1466,3,0)</f>
        <v>Bremen</v>
      </c>
      <c r="I24" s="119">
        <f>VLOOKUP(G24,Auswertung!$D$15:$W$1466,20,0)</f>
        <v>60</v>
      </c>
      <c r="J24" s="42">
        <v>3</v>
      </c>
      <c r="K24" s="117" t="str">
        <f>VLOOKUP(J24,Spieltag!$P$2:$AB$1575,13,0)</f>
        <v>Marius Wolf</v>
      </c>
      <c r="L24" s="118" t="str">
        <f>VLOOKUP(K24,Auswertung!$D$15:$F$1466,3,0)</f>
        <v>Dortmund</v>
      </c>
      <c r="M24" s="119">
        <f>VLOOKUP(K24,Auswertung!$D$15:$W$1466,20,0)</f>
        <v>85</v>
      </c>
    </row>
    <row r="25" spans="1:13" ht="11.25" customHeight="1" x14ac:dyDescent="0.2">
      <c r="A25" s="41"/>
      <c r="B25" s="42">
        <v>4</v>
      </c>
      <c r="C25" s="117" t="str">
        <f>VLOOKUP(B25,Spieltag!$N$2:$AB$1575,15,0)</f>
        <v>Willi Orban</v>
      </c>
      <c r="D25" s="118" t="str">
        <f>VLOOKUP(C25,Auswertung!$D$15:$F$1466,3,0)</f>
        <v>Leipzig</v>
      </c>
      <c r="E25" s="119">
        <f>VLOOKUP(C25,Auswertung!$D$15:$W$1466,20,0)</f>
        <v>20</v>
      </c>
      <c r="F25" s="27">
        <v>4</v>
      </c>
      <c r="G25" s="117" t="str">
        <f>VLOOKUP(F25,Spieltag!$O$2:$AB$1575,14,0)</f>
        <v>Maximilian Mittelstädt</v>
      </c>
      <c r="H25" s="118" t="str">
        <f>VLOOKUP(G25,Auswertung!$D$15:$F$1466,3,0)</f>
        <v>Stuttgart</v>
      </c>
      <c r="I25" s="119">
        <f>VLOOKUP(G25,Auswertung!$D$15:$W$1466,20,0)</f>
        <v>85</v>
      </c>
      <c r="J25" s="42">
        <v>4</v>
      </c>
      <c r="K25" s="117" t="str">
        <f>VLOOKUP(J25,Spieltag!$P$2:$AB$1575,13,0)</f>
        <v>Arthur (A)</v>
      </c>
      <c r="L25" s="118" t="str">
        <f>VLOOKUP(K25,Auswertung!$D$15:$F$1466,3,0)</f>
        <v>Leverkusen</v>
      </c>
      <c r="M25" s="119">
        <f>VLOOKUP(K25,Auswertung!$D$15:$W$1466,20,0)</f>
        <v>0</v>
      </c>
    </row>
    <row r="26" spans="1:13" ht="11.25" customHeight="1" x14ac:dyDescent="0.2">
      <c r="A26" s="43" t="s">
        <v>44</v>
      </c>
      <c r="B26" s="39">
        <v>5</v>
      </c>
      <c r="C26" s="120" t="str">
        <f>VLOOKUP(B26,Spieltag!$N$2:$AB$1575,15,0)</f>
        <v>Jadon Sancho (A)</v>
      </c>
      <c r="D26" s="121" t="str">
        <f>VLOOKUP(C26,Auswertung!$D$15:$F$1466,3,0)</f>
        <v>Dortmund</v>
      </c>
      <c r="E26" s="122">
        <f>VLOOKUP(C26,Auswertung!$D$15:$W$1466,20,0)</f>
        <v>80</v>
      </c>
      <c r="F26" s="38">
        <v>5</v>
      </c>
      <c r="G26" s="120" t="str">
        <f>VLOOKUP(F26,Spieltag!$O$2:$AB$1575,14,0)</f>
        <v>Exequiel Palacios (A)</v>
      </c>
      <c r="H26" s="121" t="str">
        <f>VLOOKUP(G26,Auswertung!$D$15:$F$1466,3,0)</f>
        <v>Leverkusen</v>
      </c>
      <c r="I26" s="122">
        <f>VLOOKUP(G26,Auswertung!$D$15:$W$1466,20,0)</f>
        <v>40</v>
      </c>
      <c r="J26" s="39">
        <v>5</v>
      </c>
      <c r="K26" s="120" t="str">
        <f>VLOOKUP(J26,Spieltag!$P$2:$AB$1575,13,0)</f>
        <v>Chris Führich</v>
      </c>
      <c r="L26" s="121" t="str">
        <f>VLOOKUP(K26,Auswertung!$D$15:$F$1466,3,0)</f>
        <v>Stuttgart</v>
      </c>
      <c r="M26" s="122">
        <f>VLOOKUP(K26,Auswertung!$D$15:$W$1466,20,0)</f>
        <v>80</v>
      </c>
    </row>
    <row r="27" spans="1:13" ht="11.25" customHeight="1" x14ac:dyDescent="0.2">
      <c r="A27" s="43"/>
      <c r="B27" s="39">
        <v>6</v>
      </c>
      <c r="C27" s="120" t="str">
        <f>VLOOKUP(B27,Spieltag!$N$2:$AB$1575,15,0)</f>
        <v>Marco Reus</v>
      </c>
      <c r="D27" s="121" t="str">
        <f>VLOOKUP(C27,Auswertung!$D$15:$F$1466,3,0)</f>
        <v>Dortmund</v>
      </c>
      <c r="E27" s="122">
        <f>VLOOKUP(C27,Auswertung!$D$15:$W$1466,20,0)</f>
        <v>90</v>
      </c>
      <c r="F27" s="38">
        <v>6</v>
      </c>
      <c r="G27" s="120" t="str">
        <f>VLOOKUP(F27,Spieltag!$O$2:$AB$1575,14,0)</f>
        <v>Chris Führich</v>
      </c>
      <c r="H27" s="121" t="str">
        <f>VLOOKUP(G27,Auswertung!$D$15:$F$1466,3,0)</f>
        <v>Stuttgart</v>
      </c>
      <c r="I27" s="122">
        <f>VLOOKUP(G27,Auswertung!$D$15:$W$1466,20,0)</f>
        <v>80</v>
      </c>
      <c r="J27" s="39">
        <v>6</v>
      </c>
      <c r="K27" s="120" t="str">
        <f>VLOOKUP(J27,Spieltag!$P$2:$AB$1575,13,0)</f>
        <v>Jonas Hofmann</v>
      </c>
      <c r="L27" s="121" t="str">
        <f>VLOOKUP(K27,Auswertung!$D$15:$F$1466,3,0)</f>
        <v>Leverkusen</v>
      </c>
      <c r="M27" s="122">
        <f>VLOOKUP(K27,Auswertung!$D$15:$W$1466,20,0)</f>
        <v>40</v>
      </c>
    </row>
    <row r="28" spans="1:13" ht="11.25" customHeight="1" x14ac:dyDescent="0.2">
      <c r="A28" s="44"/>
      <c r="B28" s="42">
        <v>7</v>
      </c>
      <c r="C28" s="120" t="str">
        <f>VLOOKUP(B28,Spieltag!$N$2:$AB$1575,15,0)</f>
        <v>Joshua Kimmich</v>
      </c>
      <c r="D28" s="121" t="str">
        <f>VLOOKUP(C28,Auswertung!$D$15:$F$1466,3,0)</f>
        <v>München</v>
      </c>
      <c r="E28" s="122">
        <f>VLOOKUP(C28,Auswertung!$D$15:$W$1466,20,0)</f>
        <v>-10</v>
      </c>
      <c r="F28" s="27">
        <v>7</v>
      </c>
      <c r="G28" s="120" t="str">
        <f>VLOOKUP(F28,Spieltag!$O$2:$AB$1575,14,0)</f>
        <v>Emre Can</v>
      </c>
      <c r="H28" s="121" t="str">
        <f>VLOOKUP(G28,Auswertung!$D$15:$F$1466,3,0)</f>
        <v>Dortmund</v>
      </c>
      <c r="I28" s="122">
        <f>VLOOKUP(G28,Auswertung!$D$15:$W$1466,20,0)</f>
        <v>80</v>
      </c>
      <c r="J28" s="42">
        <v>7</v>
      </c>
      <c r="K28" s="120" t="str">
        <f>VLOOKUP(J28,Spieltag!$P$2:$AB$1575,13,0)</f>
        <v>Marco Reus</v>
      </c>
      <c r="L28" s="121" t="str">
        <f>VLOOKUP(K28,Auswertung!$D$15:$F$1466,3,0)</f>
        <v>Dortmund</v>
      </c>
      <c r="M28" s="122">
        <f>VLOOKUP(K28,Auswertung!$D$15:$W$1466,20,0)</f>
        <v>90</v>
      </c>
    </row>
    <row r="29" spans="1:13" ht="11.25" customHeight="1" x14ac:dyDescent="0.2">
      <c r="A29" s="44"/>
      <c r="B29" s="42">
        <v>8</v>
      </c>
      <c r="C29" s="120" t="str">
        <f>VLOOKUP(B29,Spieltag!$N$2:$AB$1575,15,0)</f>
        <v>Vincenzo Grifo</v>
      </c>
      <c r="D29" s="121" t="str">
        <f>VLOOKUP(C29,Auswertung!$D$15:$F$1466,3,0)</f>
        <v>Freiburg</v>
      </c>
      <c r="E29" s="122">
        <f>VLOOKUP(C29,Auswertung!$D$15:$W$1466,20,0)</f>
        <v>0</v>
      </c>
      <c r="F29" s="27">
        <v>8</v>
      </c>
      <c r="G29" s="120" t="str">
        <f>VLOOKUP(F29,Spieltag!$O$2:$AB$1575,14,0)</f>
        <v>Xavi Simons (A)</v>
      </c>
      <c r="H29" s="121" t="str">
        <f>VLOOKUP(G29,Auswertung!$D$15:$F$1466,3,0)</f>
        <v>Leipzig</v>
      </c>
      <c r="I29" s="122">
        <f>VLOOKUP(G29,Auswertung!$D$15:$W$1466,20,0)</f>
        <v>20</v>
      </c>
      <c r="J29" s="42">
        <v>8</v>
      </c>
      <c r="K29" s="120" t="str">
        <f>VLOOKUP(J29,Spieltag!$P$2:$AB$1575,13,0)</f>
        <v>Angelo Stiller</v>
      </c>
      <c r="L29" s="121" t="str">
        <f>VLOOKUP(K29,Auswertung!$D$15:$F$1466,3,0)</f>
        <v>Stuttgart</v>
      </c>
      <c r="M29" s="122">
        <f>VLOOKUP(K29,Auswertung!$D$15:$W$1466,20,0)</f>
        <v>80</v>
      </c>
    </row>
    <row r="30" spans="1:13" ht="11.25" customHeight="1" x14ac:dyDescent="0.2">
      <c r="A30" s="45" t="s">
        <v>45</v>
      </c>
      <c r="B30" s="39">
        <v>9</v>
      </c>
      <c r="C30" s="123" t="str">
        <f>VLOOKUP(B30,Spieltag!$N$2:$AB$1575,15,0)</f>
        <v>Amine Adli (A)</v>
      </c>
      <c r="D30" s="124" t="str">
        <f>VLOOKUP(C30,Auswertung!$D$15:$F$1466,3,0)</f>
        <v>Leverkusen</v>
      </c>
      <c r="E30" s="125">
        <f>VLOOKUP(C30,Auswertung!$D$15:$W$1466,20,0)</f>
        <v>40</v>
      </c>
      <c r="F30" s="38">
        <v>9</v>
      </c>
      <c r="G30" s="123" t="str">
        <f>VLOOKUP(F30,Spieltag!$O$2:$AB$1575,14,0)</f>
        <v>Maximilian Beier</v>
      </c>
      <c r="H30" s="124" t="str">
        <f>VLOOKUP(G30,Auswertung!$D$15:$F$1466,3,0)</f>
        <v>Hoffenheim</v>
      </c>
      <c r="I30" s="125">
        <f>VLOOKUP(G30,Auswertung!$D$15:$W$1466,20,0)</f>
        <v>60</v>
      </c>
      <c r="J30" s="39">
        <v>9</v>
      </c>
      <c r="K30" s="123" t="str">
        <f>VLOOKUP(J30,Spieltag!$P$2:$AB$1575,13,0)</f>
        <v>Jonathan Burkardt</v>
      </c>
      <c r="L30" s="124" t="str">
        <f>VLOOKUP(K30,Auswertung!$D$15:$F$1466,3,0)</f>
        <v>Mainz</v>
      </c>
      <c r="M30" s="125">
        <f>VLOOKUP(K30,Auswertung!$D$15:$W$1466,20,0)</f>
        <v>60</v>
      </c>
    </row>
    <row r="31" spans="1:13" ht="11.25" customHeight="1" x14ac:dyDescent="0.2">
      <c r="A31" s="46"/>
      <c r="B31" s="42">
        <v>10</v>
      </c>
      <c r="C31" s="123" t="str">
        <f>VLOOKUP(B31,Spieltag!$N$2:$AB$1575,15,0)</f>
        <v>Deniz Undav</v>
      </c>
      <c r="D31" s="124" t="str">
        <f>VLOOKUP(C31,Auswertung!$D$15:$F$1466,3,0)</f>
        <v>Stuttgart</v>
      </c>
      <c r="E31" s="125">
        <f>VLOOKUP(C31,Auswertung!$D$15:$W$1466,20,0)</f>
        <v>65</v>
      </c>
      <c r="F31" s="27">
        <v>10</v>
      </c>
      <c r="G31" s="123" t="str">
        <f>VLOOKUP(F31,Spieltag!$O$2:$AB$1575,14,0)</f>
        <v>Harry Kane (A)</v>
      </c>
      <c r="H31" s="124" t="str">
        <f>VLOOKUP(G31,Auswertung!$D$15:$F$1466,3,0)</f>
        <v>München</v>
      </c>
      <c r="I31" s="125">
        <f>VLOOKUP(G31,Auswertung!$D$15:$W$1466,20,0)</f>
        <v>0</v>
      </c>
      <c r="J31" s="42">
        <v>10</v>
      </c>
      <c r="K31" s="123" t="str">
        <f>VLOOKUP(J31,Spieltag!$P$2:$AB$1575,13,0)</f>
        <v>Nick Woltemade</v>
      </c>
      <c r="L31" s="124" t="str">
        <f>VLOOKUP(K31,Auswertung!$D$15:$F$1466,3,0)</f>
        <v>Bremen</v>
      </c>
      <c r="M31" s="125">
        <f>VLOOKUP(K31,Auswertung!$D$15:$W$1466,20,0)</f>
        <v>60</v>
      </c>
    </row>
    <row r="32" spans="1:13" ht="11.25" customHeight="1" thickBot="1" x14ac:dyDescent="0.25">
      <c r="A32" s="46"/>
      <c r="B32" s="42">
        <v>11</v>
      </c>
      <c r="C32" s="123" t="str">
        <f>VLOOKUP(B32,Spieltag!$N$2:$AB$1575,15,0)</f>
        <v>Benjamin Šeško (A)</v>
      </c>
      <c r="D32" s="124" t="str">
        <f>VLOOKUP(C32,Auswertung!$D$15:$F$1466,3,0)</f>
        <v>Leipzig</v>
      </c>
      <c r="E32" s="125">
        <f>VLOOKUP(C32,Auswertung!$D$15:$W$1466,20,0)</f>
        <v>30</v>
      </c>
      <c r="F32" s="27">
        <v>11</v>
      </c>
      <c r="G32" s="123" t="str">
        <f>VLOOKUP(F32,Spieltag!$O$2:$AB$1575,14,0)</f>
        <v>Patrick Schick (A)</v>
      </c>
      <c r="H32" s="124" t="str">
        <f>VLOOKUP(G32,Auswertung!$D$15:$F$1466,3,0)</f>
        <v>Leverkusen</v>
      </c>
      <c r="I32" s="125">
        <f>VLOOKUP(G32,Auswertung!$D$15:$W$1466,20,0)</f>
        <v>40</v>
      </c>
      <c r="J32" s="42">
        <v>11</v>
      </c>
      <c r="K32" s="123" t="str">
        <f>VLOOKUP(J32,Spieltag!$P$2:$AB$1575,13,0)</f>
        <v>Benjamin Šeško (A)</v>
      </c>
      <c r="L32" s="124" t="str">
        <f>VLOOKUP(K32,Auswertung!$D$15:$F$1466,3,0)</f>
        <v>Leipzig</v>
      </c>
      <c r="M32" s="125">
        <f>VLOOKUP(K32,Auswertung!$D$15:$W$1466,20,0)</f>
        <v>30</v>
      </c>
    </row>
    <row r="33" spans="1:13" ht="11.25" customHeight="1" thickBot="1" x14ac:dyDescent="0.25">
      <c r="C33" s="48"/>
      <c r="E33" s="47">
        <f>SUM(E22:E32)</f>
        <v>430</v>
      </c>
      <c r="G33" s="48" t="s">
        <v>674</v>
      </c>
      <c r="I33" s="52">
        <f>SUM(I22:I32)</f>
        <v>515</v>
      </c>
      <c r="K33" s="48"/>
      <c r="L33" s="28"/>
      <c r="M33" s="52">
        <f>SUM(M22:M32)</f>
        <v>575</v>
      </c>
    </row>
    <row r="34" spans="1:13" ht="11.25" customHeight="1" x14ac:dyDescent="0.2">
      <c r="C34" s="28"/>
      <c r="G34" s="48" t="s">
        <v>675</v>
      </c>
      <c r="H34" s="28"/>
      <c r="K34" s="48"/>
      <c r="L34" s="28"/>
    </row>
    <row r="35" spans="1:13" s="23" customFormat="1" ht="11.25" customHeight="1" x14ac:dyDescent="0.2">
      <c r="B35" s="50"/>
      <c r="C35" s="236" t="s">
        <v>79</v>
      </c>
      <c r="D35" s="237"/>
      <c r="E35" s="238"/>
      <c r="F35" s="50"/>
      <c r="G35" s="236" t="s">
        <v>100</v>
      </c>
      <c r="H35" s="237"/>
      <c r="I35" s="238"/>
      <c r="K35" s="236" t="s">
        <v>78</v>
      </c>
      <c r="L35" s="237"/>
      <c r="M35" s="238"/>
    </row>
    <row r="36" spans="1:13" ht="11.25" customHeight="1" thickBot="1" x14ac:dyDescent="0.25">
      <c r="B36" s="51"/>
      <c r="C36" s="239"/>
      <c r="D36" s="240"/>
      <c r="E36" s="241"/>
      <c r="F36" s="51"/>
      <c r="G36" s="239"/>
      <c r="H36" s="240"/>
      <c r="I36" s="241"/>
      <c r="K36" s="239"/>
      <c r="L36" s="240"/>
      <c r="M36" s="241"/>
    </row>
    <row r="37" spans="1:13" s="33" customFormat="1" ht="11.25" customHeight="1" x14ac:dyDescent="0.2">
      <c r="A37" s="29"/>
      <c r="B37" s="29"/>
      <c r="C37" s="30" t="s">
        <v>92</v>
      </c>
      <c r="D37" s="31">
        <f>'[2]Niemals zu den Bayern'!$B$3</f>
        <v>10</v>
      </c>
      <c r="E37" s="32" t="s">
        <v>6</v>
      </c>
      <c r="F37" s="29"/>
      <c r="G37" s="30" t="s">
        <v>92</v>
      </c>
      <c r="H37" s="31">
        <f>[2]Markus!$B$3</f>
        <v>22</v>
      </c>
      <c r="I37" s="32" t="s">
        <v>6</v>
      </c>
      <c r="J37" s="29"/>
      <c r="K37" s="30" t="s">
        <v>92</v>
      </c>
      <c r="L37" s="31">
        <f>[2]Rainer!$B$3</f>
        <v>4</v>
      </c>
      <c r="M37" s="32" t="s">
        <v>6</v>
      </c>
    </row>
    <row r="38" spans="1:13" ht="11.25" customHeight="1" x14ac:dyDescent="0.2">
      <c r="A38" s="34"/>
      <c r="B38" s="34"/>
      <c r="C38" s="35"/>
      <c r="E38" s="36"/>
      <c r="F38" s="34"/>
      <c r="G38" s="35"/>
      <c r="I38" s="36"/>
      <c r="J38" s="34"/>
      <c r="K38" s="35"/>
      <c r="M38" s="36"/>
    </row>
    <row r="39" spans="1:13" ht="11.25" customHeight="1" x14ac:dyDescent="0.2">
      <c r="A39" s="37" t="s">
        <v>42</v>
      </c>
      <c r="B39" s="39">
        <v>1</v>
      </c>
      <c r="C39" s="114" t="str">
        <f>VLOOKUP(B39,Spieltag!$Q$2:$AB$1575,12,0)</f>
        <v>Alexander Nübel</v>
      </c>
      <c r="D39" s="115" t="str">
        <f>VLOOKUP(C39,Auswertung!$D$15:$F$1466,3,0)</f>
        <v>Stuttgart</v>
      </c>
      <c r="E39" s="116">
        <f>VLOOKUP(C39,Auswertung!$D$15:$W$1466,20,0)</f>
        <v>90</v>
      </c>
      <c r="F39" s="39">
        <v>1</v>
      </c>
      <c r="G39" s="114" t="str">
        <f>VLOOKUP(F39,Spieltag!$R$2:$AB$1575,11,0)</f>
        <v>Gregor Kobel (A)</v>
      </c>
      <c r="H39" s="115" t="str">
        <f>VLOOKUP(G39,Auswertung!$D$15:$F$1466,3,0)</f>
        <v>Dortmund</v>
      </c>
      <c r="I39" s="116">
        <f>VLOOKUP(G39,Auswertung!$D$15:$W$1466,20,0)</f>
        <v>90</v>
      </c>
      <c r="J39" s="38">
        <v>1</v>
      </c>
      <c r="K39" s="114" t="str">
        <f>VLOOKUP(J39,Spieltag!$S$2:$AB$1575,10,0)</f>
        <v>Péter Gulácsi (A)</v>
      </c>
      <c r="L39" s="115" t="str">
        <f>VLOOKUP(K39,Auswertung!$D$15:$F$1466,3,0)</f>
        <v>Leipzig</v>
      </c>
      <c r="M39" s="116">
        <f>VLOOKUP(K39,Auswertung!$D$15:$W$1466,20,0)</f>
        <v>0</v>
      </c>
    </row>
    <row r="40" spans="1:13" ht="11.25" customHeight="1" x14ac:dyDescent="0.2">
      <c r="A40" s="40" t="s">
        <v>43</v>
      </c>
      <c r="B40" s="39">
        <v>2</v>
      </c>
      <c r="C40" s="117" t="str">
        <f>VLOOKUP(B40,Spieltag!$Q$2:$AB$1575,12,0)</f>
        <v>David Raum</v>
      </c>
      <c r="D40" s="118" t="str">
        <f>VLOOKUP(C40,Auswertung!$D$15:$F$1466,3,0)</f>
        <v>Leipzig</v>
      </c>
      <c r="E40" s="119">
        <f>VLOOKUP(C40,Auswertung!$D$15:$W$1466,20,0)</f>
        <v>0</v>
      </c>
      <c r="F40" s="39">
        <v>2</v>
      </c>
      <c r="G40" s="117" t="str">
        <f>VLOOKUP(F40,Spieltag!$R$2:$AB$1575,11,0)</f>
        <v>David Raum</v>
      </c>
      <c r="H40" s="118" t="str">
        <f>VLOOKUP(G40,Auswertung!$D$15:$F$1466,3,0)</f>
        <v>Leipzig</v>
      </c>
      <c r="I40" s="119">
        <f>VLOOKUP(G40,Auswertung!$D$15:$W$1466,20,0)</f>
        <v>0</v>
      </c>
      <c r="J40" s="38">
        <v>2</v>
      </c>
      <c r="K40" s="117" t="str">
        <f>VLOOKUP(J40,Spieltag!$S$2:$AB$1575,10,0)</f>
        <v>Robin Gosens</v>
      </c>
      <c r="L40" s="118" t="str">
        <f>VLOOKUP(K40,Auswertung!$D$15:$F$1466,3,0)</f>
        <v>Union Berlin</v>
      </c>
      <c r="M40" s="119">
        <f>VLOOKUP(K40,Auswertung!$D$15:$W$1466,20,0)</f>
        <v>30</v>
      </c>
    </row>
    <row r="41" spans="1:13" ht="11.25" customHeight="1" x14ac:dyDescent="0.2">
      <c r="A41" s="41"/>
      <c r="B41" s="42">
        <v>3</v>
      </c>
      <c r="C41" s="117" t="str">
        <f>VLOOKUP(B41,Spieltag!$Q$2:$AB$1575,12,0)</f>
        <v>Sepp van den Berg (A)</v>
      </c>
      <c r="D41" s="118" t="str">
        <f>VLOOKUP(C41,Auswertung!$D$15:$F$1466,3,0)</f>
        <v>Mainz</v>
      </c>
      <c r="E41" s="119">
        <f>VLOOKUP(C41,Auswertung!$D$15:$W$1466,20,0)</f>
        <v>65</v>
      </c>
      <c r="F41" s="42">
        <v>3</v>
      </c>
      <c r="G41" s="117" t="str">
        <f>VLOOKUP(F41,Spieltag!$R$2:$AB$1575,11,0)</f>
        <v>Manuel Gulde</v>
      </c>
      <c r="H41" s="118" t="str">
        <f>VLOOKUP(G41,Auswertung!$D$15:$F$1466,3,0)</f>
        <v>Freiburg</v>
      </c>
      <c r="I41" s="119">
        <f>VLOOKUP(G41,Auswertung!$D$15:$W$1466,20,0)</f>
        <v>0</v>
      </c>
      <c r="J41" s="27">
        <v>3</v>
      </c>
      <c r="K41" s="117" t="str">
        <f>VLOOKUP(J41,Spieltag!$S$2:$AB$1575,10,0)</f>
        <v>Jonathan Tah</v>
      </c>
      <c r="L41" s="118" t="str">
        <f>VLOOKUP(K41,Auswertung!$D$15:$F$1466,3,0)</f>
        <v>Leverkusen</v>
      </c>
      <c r="M41" s="119">
        <f>VLOOKUP(K41,Auswertung!$D$15:$W$1466,20,0)</f>
        <v>40</v>
      </c>
    </row>
    <row r="42" spans="1:13" ht="11.25" customHeight="1" x14ac:dyDescent="0.2">
      <c r="A42" s="41"/>
      <c r="B42" s="42">
        <v>4</v>
      </c>
      <c r="C42" s="117" t="str">
        <f>VLOOKUP(B42,Spieltag!$Q$2:$AB$1575,12,0)</f>
        <v>Nico Schlotterbeck</v>
      </c>
      <c r="D42" s="118" t="str">
        <f>VLOOKUP(C42,Auswertung!$D$15:$F$1466,3,0)</f>
        <v>Dortmund</v>
      </c>
      <c r="E42" s="119">
        <f>VLOOKUP(C42,Auswertung!$D$15:$W$1466,20,0)</f>
        <v>85</v>
      </c>
      <c r="F42" s="42">
        <v>4</v>
      </c>
      <c r="G42" s="117" t="str">
        <f>VLOOKUP(F42,Spieltag!$R$2:$AB$1575,11,0)</f>
        <v>Nico Schlotterbeck</v>
      </c>
      <c r="H42" s="118" t="str">
        <f>VLOOKUP(G42,Auswertung!$D$15:$F$1466,3,0)</f>
        <v>Dortmund</v>
      </c>
      <c r="I42" s="119">
        <f>VLOOKUP(G42,Auswertung!$D$15:$W$1466,20,0)</f>
        <v>85</v>
      </c>
      <c r="J42" s="27">
        <v>4</v>
      </c>
      <c r="K42" s="117" t="str">
        <f>VLOOKUP(J42,Spieltag!$S$2:$AB$1575,10,0)</f>
        <v>Niklas Süle</v>
      </c>
      <c r="L42" s="118" t="str">
        <f>VLOOKUP(K42,Auswertung!$D$15:$F$1466,3,0)</f>
        <v>Dortmund</v>
      </c>
      <c r="M42" s="119">
        <f>VLOOKUP(K42,Auswertung!$D$15:$W$1466,20,0)</f>
        <v>0</v>
      </c>
    </row>
    <row r="43" spans="1:13" ht="11.25" customHeight="1" x14ac:dyDescent="0.2">
      <c r="A43" s="43" t="s">
        <v>44</v>
      </c>
      <c r="B43" s="39">
        <v>5</v>
      </c>
      <c r="C43" s="120" t="str">
        <f>VLOOKUP(B43,Spieltag!$Q$2:$AB$1575,12,0)</f>
        <v>Jonas Hofmann</v>
      </c>
      <c r="D43" s="121" t="str">
        <f>VLOOKUP(C43,Auswertung!$D$15:$F$1466,3,0)</f>
        <v>Leverkusen</v>
      </c>
      <c r="E43" s="122">
        <f>VLOOKUP(C43,Auswertung!$D$15:$W$1466,20,0)</f>
        <v>40</v>
      </c>
      <c r="F43" s="39">
        <v>5</v>
      </c>
      <c r="G43" s="120" t="str">
        <f>VLOOKUP(F43,Spieltag!$R$2:$AB$1575,11,0)</f>
        <v>Jonas Hofmann</v>
      </c>
      <c r="H43" s="121" t="str">
        <f>VLOOKUP(G43,Auswertung!$D$15:$F$1466,3,0)</f>
        <v>Leverkusen</v>
      </c>
      <c r="I43" s="122">
        <f>VLOOKUP(G43,Auswertung!$D$15:$W$1466,20,0)</f>
        <v>40</v>
      </c>
      <c r="J43" s="38">
        <v>5</v>
      </c>
      <c r="K43" s="120" t="str">
        <f>VLOOKUP(J43,Spieltag!$S$2:$AB$1575,10,0)</f>
        <v>Marco Reus</v>
      </c>
      <c r="L43" s="121" t="str">
        <f>VLOOKUP(K43,Auswertung!$D$15:$F$1466,3,0)</f>
        <v>Dortmund</v>
      </c>
      <c r="M43" s="122">
        <f>VLOOKUP(K43,Auswertung!$D$15:$W$1466,20,0)</f>
        <v>90</v>
      </c>
    </row>
    <row r="44" spans="1:13" ht="11.25" customHeight="1" x14ac:dyDescent="0.2">
      <c r="A44" s="43"/>
      <c r="B44" s="39">
        <v>6</v>
      </c>
      <c r="C44" s="120" t="str">
        <f>VLOOKUP(B44,Spieltag!$Q$2:$AB$1575,12,0)</f>
        <v>Joshua Kimmich</v>
      </c>
      <c r="D44" s="121" t="str">
        <f>VLOOKUP(C44,Auswertung!$D$15:$F$1466,3,0)</f>
        <v>München</v>
      </c>
      <c r="E44" s="122">
        <f>VLOOKUP(C44,Auswertung!$D$15:$W$1466,20,0)</f>
        <v>-10</v>
      </c>
      <c r="F44" s="39">
        <v>6</v>
      </c>
      <c r="G44" s="120" t="str">
        <f>VLOOKUP(F44,Spieltag!$R$2:$AB$1575,11,0)</f>
        <v>Florian Wirtz</v>
      </c>
      <c r="H44" s="121" t="str">
        <f>VLOOKUP(G44,Auswertung!$D$15:$F$1466,3,0)</f>
        <v>Leverkusen</v>
      </c>
      <c r="I44" s="122">
        <f>VLOOKUP(G44,Auswertung!$D$15:$W$1466,20,0)</f>
        <v>40</v>
      </c>
      <c r="J44" s="38">
        <v>6</v>
      </c>
      <c r="K44" s="120" t="str">
        <f>VLOOKUP(J44,Spieltag!$S$2:$AB$1575,10,0)</f>
        <v>Xavi Simons (A)</v>
      </c>
      <c r="L44" s="121" t="str">
        <f>VLOOKUP(K44,Auswertung!$D$15:$F$1466,3,0)</f>
        <v>Leipzig</v>
      </c>
      <c r="M44" s="122">
        <f>VLOOKUP(K44,Auswertung!$D$15:$W$1466,20,0)</f>
        <v>20</v>
      </c>
    </row>
    <row r="45" spans="1:13" ht="11.25" customHeight="1" x14ac:dyDescent="0.2">
      <c r="A45" s="44"/>
      <c r="B45" s="42">
        <v>7</v>
      </c>
      <c r="C45" s="120" t="str">
        <f>VLOOKUP(B45,Spieltag!$Q$2:$AB$1575,12,0)</f>
        <v>Marco Reus</v>
      </c>
      <c r="D45" s="121" t="str">
        <f>VLOOKUP(C45,Auswertung!$D$15:$F$1466,3,0)</f>
        <v>Dortmund</v>
      </c>
      <c r="E45" s="122">
        <f>VLOOKUP(C45,Auswertung!$D$15:$W$1466,20,0)</f>
        <v>90</v>
      </c>
      <c r="F45" s="42">
        <v>7</v>
      </c>
      <c r="G45" s="120" t="str">
        <f>VLOOKUP(F45,Spieltag!$R$2:$AB$1575,11,0)</f>
        <v>Joshua Kimmich</v>
      </c>
      <c r="H45" s="121" t="str">
        <f>VLOOKUP(G45,Auswertung!$D$15:$F$1466,3,0)</f>
        <v>München</v>
      </c>
      <c r="I45" s="122">
        <f>VLOOKUP(G45,Auswertung!$D$15:$W$1466,20,0)</f>
        <v>-10</v>
      </c>
      <c r="J45" s="27">
        <v>7</v>
      </c>
      <c r="K45" s="120" t="str">
        <f>VLOOKUP(J45,Spieltag!$S$2:$AB$1575,10,0)</f>
        <v>Chris Führich</v>
      </c>
      <c r="L45" s="121" t="str">
        <f>VLOOKUP(K45,Auswertung!$D$15:$F$1466,3,0)</f>
        <v>Stuttgart</v>
      </c>
      <c r="M45" s="122">
        <f>VLOOKUP(K45,Auswertung!$D$15:$W$1466,20,0)</f>
        <v>80</v>
      </c>
    </row>
    <row r="46" spans="1:13" ht="11.25" customHeight="1" x14ac:dyDescent="0.2">
      <c r="A46" s="44"/>
      <c r="B46" s="42">
        <v>8</v>
      </c>
      <c r="C46" s="120" t="str">
        <f>VLOOKUP(B46,Spieltag!$Q$2:$AB$1575,12,0)</f>
        <v>Dani Olmo (A)</v>
      </c>
      <c r="D46" s="121" t="str">
        <f>VLOOKUP(C46,Auswertung!$D$15:$F$1466,3,0)</f>
        <v>Leipzig</v>
      </c>
      <c r="E46" s="122">
        <f>VLOOKUP(C46,Auswertung!$D$15:$W$1466,20,0)</f>
        <v>0</v>
      </c>
      <c r="F46" s="42">
        <v>8</v>
      </c>
      <c r="G46" s="120" t="str">
        <f>VLOOKUP(F46,Spieltag!$R$2:$AB$1575,11,0)</f>
        <v>Chris Führich</v>
      </c>
      <c r="H46" s="121" t="str">
        <f>VLOOKUP(G46,Auswertung!$D$15:$F$1466,3,0)</f>
        <v>Stuttgart</v>
      </c>
      <c r="I46" s="122">
        <f>VLOOKUP(G46,Auswertung!$D$15:$W$1466,20,0)</f>
        <v>80</v>
      </c>
      <c r="J46" s="27">
        <v>8</v>
      </c>
      <c r="K46" s="120" t="str">
        <f>VLOOKUP(J46,Spieltag!$S$2:$AB$1575,10,0)</f>
        <v>Jonas Hofmann</v>
      </c>
      <c r="L46" s="121" t="str">
        <f>VLOOKUP(K46,Auswertung!$D$15:$F$1466,3,0)</f>
        <v>Leverkusen</v>
      </c>
      <c r="M46" s="122">
        <f>VLOOKUP(K46,Auswertung!$D$15:$W$1466,20,0)</f>
        <v>40</v>
      </c>
    </row>
    <row r="47" spans="1:13" ht="11.25" customHeight="1" x14ac:dyDescent="0.2">
      <c r="A47" s="45" t="s">
        <v>45</v>
      </c>
      <c r="B47" s="39">
        <v>9</v>
      </c>
      <c r="C47" s="123" t="str">
        <f>VLOOKUP(B47,Spieltag!$Q$2:$AB$1575,12,0)</f>
        <v>Serhou Guirassy (A)</v>
      </c>
      <c r="D47" s="124" t="str">
        <f>VLOOKUP(C47,Auswertung!$D$15:$F$1466,3,0)</f>
        <v>Stuttgart</v>
      </c>
      <c r="E47" s="125">
        <f>VLOOKUP(C47,Auswertung!$D$15:$W$1466,20,0)</f>
        <v>105</v>
      </c>
      <c r="F47" s="39">
        <v>9</v>
      </c>
      <c r="G47" s="123" t="str">
        <f>VLOOKUP(F47,Spieltag!$R$2:$AB$1575,11,0)</f>
        <v>Serhou Guirassy (A)</v>
      </c>
      <c r="H47" s="124" t="str">
        <f>VLOOKUP(G47,Auswertung!$D$15:$F$1466,3,0)</f>
        <v>Stuttgart</v>
      </c>
      <c r="I47" s="125">
        <f>VLOOKUP(G47,Auswertung!$D$15:$W$1466,20,0)</f>
        <v>105</v>
      </c>
      <c r="J47" s="38">
        <v>9</v>
      </c>
      <c r="K47" s="123" t="str">
        <f>VLOOKUP(J47,Spieltag!$S$2:$AB$1575,10,0)</f>
        <v>Mathys Tel (A)</v>
      </c>
      <c r="L47" s="124" t="str">
        <f>VLOOKUP(K47,Auswertung!$D$15:$F$1466,3,0)</f>
        <v>München</v>
      </c>
      <c r="M47" s="125">
        <f>VLOOKUP(K47,Auswertung!$D$15:$W$1466,20,0)</f>
        <v>0</v>
      </c>
    </row>
    <row r="48" spans="1:13" ht="11.25" customHeight="1" x14ac:dyDescent="0.2">
      <c r="A48" s="46"/>
      <c r="B48" s="42">
        <v>10</v>
      </c>
      <c r="C48" s="123" t="str">
        <f>VLOOKUP(B48,Spieltag!$Q$2:$AB$1575,12,0)</f>
        <v>Thomas Müller</v>
      </c>
      <c r="D48" s="124" t="str">
        <f>VLOOKUP(C48,Auswertung!$D$15:$F$1466,3,0)</f>
        <v>München</v>
      </c>
      <c r="E48" s="125">
        <f>VLOOKUP(C48,Auswertung!$D$15:$W$1466,20,0)</f>
        <v>-10</v>
      </c>
      <c r="F48" s="42">
        <v>10</v>
      </c>
      <c r="G48" s="123" t="str">
        <f>VLOOKUP(F48,Spieltag!$R$2:$AB$1575,11,0)</f>
        <v>Harry Kane (A)</v>
      </c>
      <c r="H48" s="124" t="str">
        <f>VLOOKUP(G48,Auswertung!$D$15:$F$1466,3,0)</f>
        <v>München</v>
      </c>
      <c r="I48" s="125">
        <f>VLOOKUP(G48,Auswertung!$D$15:$W$1466,20,0)</f>
        <v>0</v>
      </c>
      <c r="J48" s="27">
        <v>10</v>
      </c>
      <c r="K48" s="123" t="str">
        <f>VLOOKUP(J48,Spieltag!$S$2:$AB$1575,10,0)</f>
        <v>Thomas Müller</v>
      </c>
      <c r="L48" s="124" t="str">
        <f>VLOOKUP(K48,Auswertung!$D$15:$F$1466,3,0)</f>
        <v>München</v>
      </c>
      <c r="M48" s="125">
        <f>VLOOKUP(K48,Auswertung!$D$15:$W$1466,20,0)</f>
        <v>-10</v>
      </c>
    </row>
    <row r="49" spans="1:13" ht="11.25" customHeight="1" thickBot="1" x14ac:dyDescent="0.25">
      <c r="A49" s="46"/>
      <c r="B49" s="42">
        <v>11</v>
      </c>
      <c r="C49" s="123" t="str">
        <f>VLOOKUP(B49,Spieltag!$Q$2:$AB$1575,12,0)</f>
        <v>Victor Boniface (A)</v>
      </c>
      <c r="D49" s="124" t="str">
        <f>VLOOKUP(C49,Auswertung!$D$15:$F$1466,3,0)</f>
        <v>Leverkusen</v>
      </c>
      <c r="E49" s="125">
        <f>VLOOKUP(C49,Auswertung!$D$15:$W$1466,20,0)</f>
        <v>50</v>
      </c>
      <c r="F49" s="42">
        <v>11</v>
      </c>
      <c r="G49" s="123" t="str">
        <f>VLOOKUP(F49,Spieltag!$R$2:$AB$1575,11,0)</f>
        <v>Loїs Openda (A)</v>
      </c>
      <c r="H49" s="124" t="str">
        <f>VLOOKUP(G49,Auswertung!$D$15:$F$1466,3,0)</f>
        <v>Leipzig</v>
      </c>
      <c r="I49" s="125">
        <f>VLOOKUP(G49,Auswertung!$D$15:$W$1466,20,0)</f>
        <v>20</v>
      </c>
      <c r="J49" s="27">
        <v>11</v>
      </c>
      <c r="K49" s="123" t="str">
        <f>VLOOKUP(J49,Spieltag!$S$2:$AB$1575,10,0)</f>
        <v>Serhou Guirassy (A)</v>
      </c>
      <c r="L49" s="124" t="str">
        <f>VLOOKUP(K49,Auswertung!$D$15:$F$1466,3,0)</f>
        <v>Stuttgart</v>
      </c>
      <c r="M49" s="125">
        <f>VLOOKUP(K49,Auswertung!$D$15:$W$1466,20,0)</f>
        <v>105</v>
      </c>
    </row>
    <row r="50" spans="1:13" ht="11.25" customHeight="1" thickBot="1" x14ac:dyDescent="0.25">
      <c r="C50" s="48"/>
      <c r="D50" s="28"/>
      <c r="E50" s="52">
        <f>SUM(E39:E49)</f>
        <v>505</v>
      </c>
      <c r="G50" s="48"/>
      <c r="I50" s="52">
        <f>SUM(I39:I49)</f>
        <v>450</v>
      </c>
      <c r="K50" s="208"/>
      <c r="L50" s="208"/>
      <c r="M50" s="52">
        <f>SUM(M39:M49)</f>
        <v>395</v>
      </c>
    </row>
    <row r="51" spans="1:13" ht="11.25" customHeight="1" x14ac:dyDescent="0.2">
      <c r="G51" s="208"/>
      <c r="K51" s="208"/>
    </row>
    <row r="102" spans="10:10" ht="11.25" customHeight="1" x14ac:dyDescent="0.2">
      <c r="J102" s="26">
        <v>1</v>
      </c>
    </row>
  </sheetData>
  <mergeCells count="9">
    <mergeCell ref="C35:E36"/>
    <mergeCell ref="G35:I36"/>
    <mergeCell ref="K35:M36"/>
    <mergeCell ref="C1:E2"/>
    <mergeCell ref="G1:I2"/>
    <mergeCell ref="K1:M2"/>
    <mergeCell ref="C18:E19"/>
    <mergeCell ref="G18:I19"/>
    <mergeCell ref="K18:M19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>
    <oddHeader xml:space="preserve">&amp;L&amp;D&amp;C&amp;"Tahoma,Fett"&amp;18Bundesliga 2023/2024&amp;R&amp;"Sparkasse Rg,Fett"&amp;12 &amp;F&amp;"Arial,Standard"&amp;10
</oddHeader>
  </headerFooter>
  <ignoredErrors>
    <ignoredError sqref="G5:G15" unlockedFormula="1"/>
    <ignoredError sqref="K5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AD40"/>
  <sheetViews>
    <sheetView showGridLines="0" zoomScale="150" workbookViewId="0">
      <selection activeCell="I13" sqref="I13"/>
    </sheetView>
  </sheetViews>
  <sheetFormatPr baseColWidth="10" defaultColWidth="11.42578125" defaultRowHeight="11.25" customHeight="1" x14ac:dyDescent="0.2"/>
  <cols>
    <col min="1" max="1" width="0.85546875" style="26" customWidth="1"/>
    <col min="2" max="3" width="13.28515625" style="26" customWidth="1"/>
    <col min="4" max="4" width="1.7109375" style="26" customWidth="1"/>
    <col min="5" max="5" width="3" style="73" customWidth="1"/>
    <col min="6" max="6" width="2.42578125" style="73" customWidth="1"/>
    <col min="7" max="7" width="4.140625" style="73" customWidth="1"/>
    <col min="8" max="8" width="1.7109375" style="26" customWidth="1"/>
    <col min="9" max="9" width="3" style="73" customWidth="1"/>
    <col min="10" max="10" width="2.42578125" style="73" customWidth="1"/>
    <col min="11" max="11" width="4.140625" style="73" customWidth="1"/>
    <col min="12" max="12" width="1.7109375" style="26" customWidth="1"/>
    <col min="13" max="13" width="3" style="73" customWidth="1"/>
    <col min="14" max="14" width="2.42578125" style="73" customWidth="1"/>
    <col min="15" max="15" width="4.140625" style="73" customWidth="1"/>
    <col min="16" max="16" width="1.7109375" style="26" customWidth="1"/>
    <col min="17" max="17" width="3" style="73" customWidth="1"/>
    <col min="18" max="18" width="2.42578125" style="73" customWidth="1"/>
    <col min="19" max="19" width="4.140625" style="73" customWidth="1"/>
    <col min="20" max="20" width="1.7109375" style="26" customWidth="1"/>
    <col min="21" max="21" width="3" style="73" customWidth="1"/>
    <col min="22" max="22" width="2.42578125" style="73" customWidth="1"/>
    <col min="23" max="23" width="4.140625" style="73" customWidth="1"/>
    <col min="24" max="24" width="1.7109375" style="26" customWidth="1"/>
    <col min="25" max="25" width="2.42578125" style="73" customWidth="1"/>
    <col min="26" max="26" width="4.140625" style="73" customWidth="1"/>
    <col min="27" max="27" width="1.7109375" style="26" customWidth="1"/>
    <col min="28" max="28" width="3" style="73" customWidth="1"/>
    <col min="29" max="29" width="2.42578125" style="73" customWidth="1"/>
    <col min="30" max="30" width="4.140625" style="73" customWidth="1"/>
    <col min="31" max="16384" width="11.42578125" style="26"/>
  </cols>
  <sheetData>
    <row r="1" spans="1:30" ht="11.25" customHeight="1" x14ac:dyDescent="0.2">
      <c r="E1" s="243" t="s">
        <v>40</v>
      </c>
      <c r="F1" s="244"/>
      <c r="G1" s="245"/>
      <c r="H1" s="34"/>
      <c r="I1" s="243" t="s">
        <v>41</v>
      </c>
      <c r="J1" s="244"/>
      <c r="K1" s="245"/>
      <c r="L1" s="34"/>
      <c r="M1" s="243" t="s">
        <v>102</v>
      </c>
      <c r="N1" s="244"/>
      <c r="O1" s="245"/>
      <c r="P1" s="34"/>
      <c r="Q1" s="243" t="s">
        <v>51</v>
      </c>
      <c r="R1" s="244"/>
      <c r="S1" s="245"/>
      <c r="T1" s="34"/>
      <c r="U1" s="243" t="s">
        <v>52</v>
      </c>
      <c r="V1" s="244"/>
      <c r="W1" s="245"/>
      <c r="X1" s="34"/>
      <c r="AA1" s="34"/>
    </row>
    <row r="2" spans="1:30" ht="11.25" customHeight="1" x14ac:dyDescent="0.2">
      <c r="E2" s="246"/>
      <c r="F2" s="247"/>
      <c r="G2" s="248"/>
      <c r="H2" s="34"/>
      <c r="I2" s="246"/>
      <c r="J2" s="247"/>
      <c r="K2" s="248"/>
      <c r="L2" s="34"/>
      <c r="M2" s="246"/>
      <c r="N2" s="247"/>
      <c r="O2" s="248"/>
      <c r="P2" s="34"/>
      <c r="Q2" s="246"/>
      <c r="R2" s="247"/>
      <c r="S2" s="248"/>
      <c r="T2" s="34"/>
      <c r="U2" s="246"/>
      <c r="V2" s="247"/>
      <c r="W2" s="248"/>
      <c r="X2" s="34"/>
      <c r="AA2" s="34"/>
    </row>
    <row r="3" spans="1:30" ht="11.25" customHeight="1" thickBot="1" x14ac:dyDescent="0.25">
      <c r="E3" s="249"/>
      <c r="F3" s="250"/>
      <c r="G3" s="251"/>
      <c r="H3" s="34"/>
      <c r="I3" s="249"/>
      <c r="J3" s="250"/>
      <c r="K3" s="251"/>
      <c r="L3" s="34"/>
      <c r="M3" s="249"/>
      <c r="N3" s="250"/>
      <c r="O3" s="251"/>
      <c r="P3" s="34"/>
      <c r="Q3" s="249"/>
      <c r="R3" s="250"/>
      <c r="S3" s="251"/>
      <c r="T3" s="34"/>
      <c r="U3" s="249"/>
      <c r="V3" s="250"/>
      <c r="W3" s="251"/>
      <c r="X3" s="34"/>
      <c r="AA3" s="34"/>
    </row>
    <row r="4" spans="1:30" ht="11.25" customHeight="1" thickBot="1" x14ac:dyDescent="0.25">
      <c r="A4" s="74"/>
      <c r="B4" s="75"/>
      <c r="C4" s="74"/>
      <c r="E4" s="76"/>
      <c r="F4" s="77" t="s">
        <v>12</v>
      </c>
      <c r="G4" s="78" t="s">
        <v>6</v>
      </c>
      <c r="I4" s="76"/>
      <c r="J4" s="77" t="s">
        <v>12</v>
      </c>
      <c r="K4" s="78" t="s">
        <v>6</v>
      </c>
      <c r="M4" s="76"/>
      <c r="N4" s="77" t="s">
        <v>12</v>
      </c>
      <c r="O4" s="78" t="s">
        <v>6</v>
      </c>
      <c r="Q4" s="76"/>
      <c r="R4" s="77" t="s">
        <v>12</v>
      </c>
      <c r="S4" s="78" t="s">
        <v>6</v>
      </c>
      <c r="U4" s="76"/>
      <c r="V4" s="77" t="s">
        <v>12</v>
      </c>
      <c r="W4" s="78" t="s">
        <v>6</v>
      </c>
    </row>
    <row r="5" spans="1:30" ht="11.25" customHeight="1" x14ac:dyDescent="0.2">
      <c r="A5" s="79"/>
      <c r="B5" s="80" t="str">
        <f>Auswertung!$D$1</f>
        <v>Hoffenheim</v>
      </c>
      <c r="C5" s="81" t="str">
        <f>Auswertung!$E$1</f>
        <v>München</v>
      </c>
      <c r="E5" s="82">
        <f>IF(('[1]34. Spieltag'!D5=""),"",('[1]34. Spieltag'!D5))</f>
        <v>2</v>
      </c>
      <c r="F5" s="83">
        <f>IF(('[1]34. Spieltag'!E5=""),"",('[1]34. Spieltag'!E5))</f>
        <v>1</v>
      </c>
      <c r="G5" s="84">
        <f>IF(Auswertung!$I$1="",0,IF(AND(E5=Auswertung!$I$1,F5=Auswertung!$J$1),60,IF(E5-F5=Auswertung!$I$1-Auswertung!$J$1,40,IF(OR(AND(E5&gt;F5,Auswertung!$I$1&gt;Auswertung!$J$1),AND(E5&lt;F5,Auswertung!$I$1&lt;Auswertung!$J$1)),20,0))))</f>
        <v>20</v>
      </c>
      <c r="I5" s="82">
        <f>IF(('[1]34. Spieltag'!H5=""),"",('[1]34. Spieltag'!H5))</f>
        <v>2</v>
      </c>
      <c r="J5" s="83">
        <f>IF(('[1]34. Spieltag'!I5=""),"",('[1]34. Spieltag'!I5))</f>
        <v>1</v>
      </c>
      <c r="K5" s="84">
        <f>IF(Auswertung!$I$1="",0,IF(AND(I5=Auswertung!$I$1,J5=Auswertung!$J$1),60,IF(I5-J5=Auswertung!$I$1-Auswertung!$J$1,40,IF(OR(AND(I5&gt;J5,Auswertung!$I$1&gt;Auswertung!$J$1),AND(I5&lt;J5,Auswertung!$I$1&lt;Auswertung!$J$1)),20,0))))</f>
        <v>20</v>
      </c>
      <c r="M5" s="82">
        <f>IF(('[1]34. Spieltag'!L5=""),"",('[1]34. Spieltag'!L5))</f>
        <v>1</v>
      </c>
      <c r="N5" s="83">
        <f>IF(('[1]34. Spieltag'!M5=""),"",('[1]34. Spieltag'!M5))</f>
        <v>3</v>
      </c>
      <c r="O5" s="84">
        <f>IF(Auswertung!$I$1="",0,IF(AND(M5=Auswertung!$I$1,N5=Auswertung!$J$1),60,IF(M5-N5=Auswertung!$I$1-Auswertung!$J$1,40,IF(OR(AND(M5&gt;N5,Auswertung!$I$1&gt;Auswertung!$J$1),AND(M5&lt;N5,Auswertung!$I$1&lt;Auswertung!$J$1)),20,0))))</f>
        <v>0</v>
      </c>
      <c r="Q5" s="82">
        <f>IF(('[1]34. Spieltag'!P5=""),"",('[1]34. Spieltag'!P5))</f>
        <v>1</v>
      </c>
      <c r="R5" s="83">
        <f>IF(('[1]34. Spieltag'!Q5=""),"",('[1]34. Spieltag'!Q5))</f>
        <v>4</v>
      </c>
      <c r="S5" s="84">
        <f>IF(Auswertung!$I$1="",0,IF(AND(Q5=Auswertung!$I$1,R5=Auswertung!$J$1),60,IF(Q5-R5=Auswertung!$I$1-Auswertung!$J$1,40,IF(OR(AND(Q5&gt;R5,Auswertung!$I$1&gt;Auswertung!$J$1),AND(Q5&lt;R5,Auswertung!$I$1&lt;Auswertung!$J$1)),20,0))))</f>
        <v>0</v>
      </c>
      <c r="U5" s="82">
        <f>IF(('[1]34. Spieltag'!T5=""),"",('[1]34. Spieltag'!T5))</f>
        <v>1</v>
      </c>
      <c r="V5" s="83">
        <f>IF(('[1]34. Spieltag'!U5=""),"",('[1]34. Spieltag'!U5))</f>
        <v>4</v>
      </c>
      <c r="W5" s="84">
        <f>IF(Auswertung!$I$1="",0,IF(AND(U5=Auswertung!$I$1,V5=Auswertung!$J$1),60,IF(U5-V5=Auswertung!$I$1-Auswertung!$J$1,40,IF(OR(AND(U5&gt;V5,Auswertung!$I$1&gt;Auswertung!$J$1),AND(U5&lt;V5,Auswertung!$I$1&lt;Auswertung!$J$1)),20,0))))</f>
        <v>0</v>
      </c>
    </row>
    <row r="6" spans="1:30" ht="11.25" customHeight="1" x14ac:dyDescent="0.2">
      <c r="A6" s="85"/>
      <c r="B6" s="86" t="str">
        <f>Auswertung!$D$2</f>
        <v>Frankfurt</v>
      </c>
      <c r="C6" s="87" t="str">
        <f>Auswertung!$E$2</f>
        <v>Leipzig</v>
      </c>
      <c r="E6" s="82">
        <f>IF(('[1]34. Spieltag'!D6=""),"",('[1]34. Spieltag'!D6))</f>
        <v>1</v>
      </c>
      <c r="F6" s="83">
        <f>IF(('[1]34. Spieltag'!E6=""),"",('[1]34. Spieltag'!E6))</f>
        <v>1</v>
      </c>
      <c r="G6" s="88">
        <f>IF(Auswertung!$I$2="",0,IF(AND(E6=Auswertung!$I$2,F6=Auswertung!$J$2),60,IF(E6-F6=Auswertung!$I$2-Auswertung!$J$2,40,IF(OR(AND(E6&gt;F6,Auswertung!$I$2&gt;Auswertung!$J$2),AND(E6&lt;F6,Auswertung!$I$2&lt;Auswertung!$J$2)),20,0))))</f>
        <v>40</v>
      </c>
      <c r="I6" s="82">
        <f>IF(('[1]34. Spieltag'!H6=""),"",('[1]34. Spieltag'!H6))</f>
        <v>1</v>
      </c>
      <c r="J6" s="83">
        <f>IF(('[1]34. Spieltag'!I6=""),"",('[1]34. Spieltag'!I6))</f>
        <v>1</v>
      </c>
      <c r="K6" s="88">
        <f>IF(Auswertung!$I$2="",0,IF(AND(I6=Auswertung!$I$2,J6=Auswertung!$J$2),60,IF(I6-J6=Auswertung!$I$2-Auswertung!$J$2,40,IF(OR(AND(I6&gt;J6,Auswertung!$I$2&gt;Auswertung!$J$2),AND(I6&lt;J6,Auswertung!$I$2&lt;Auswertung!$J$2)),20,0))))</f>
        <v>40</v>
      </c>
      <c r="M6" s="82">
        <f>IF(('[1]34. Spieltag'!L6=""),"",('[1]34. Spieltag'!L6))</f>
        <v>1</v>
      </c>
      <c r="N6" s="83">
        <f>IF(('[1]34. Spieltag'!M6=""),"",('[1]34. Spieltag'!M6))</f>
        <v>2</v>
      </c>
      <c r="O6" s="88">
        <f>IF(Auswertung!$I$2="",0,IF(AND(M6=Auswertung!$I$2,N6=Auswertung!$J$2),60,IF(M6-N6=Auswertung!$I$2-Auswertung!$J$2,40,IF(OR(AND(M6&gt;N6,Auswertung!$I$2&gt;Auswertung!$J$2),AND(M6&lt;N6,Auswertung!$I$2&lt;Auswertung!$J$2)),20,0))))</f>
        <v>0</v>
      </c>
      <c r="Q6" s="82">
        <f>IF(('[1]34. Spieltag'!P6=""),"",('[1]34. Spieltag'!P6))</f>
        <v>1</v>
      </c>
      <c r="R6" s="83">
        <f>IF(('[1]34. Spieltag'!Q6=""),"",('[1]34. Spieltag'!Q6))</f>
        <v>3</v>
      </c>
      <c r="S6" s="88">
        <f>IF(Auswertung!$I$2="",0,IF(AND(Q6=Auswertung!$I$2,R6=Auswertung!$J$2),60,IF(Q6-R6=Auswertung!$I$2-Auswertung!$J$2,40,IF(OR(AND(Q6&gt;R6,Auswertung!$I$2&gt;Auswertung!$J$2),AND(Q6&lt;R6,Auswertung!$I$2&lt;Auswertung!$J$2)),20,0))))</f>
        <v>0</v>
      </c>
      <c r="U6" s="82">
        <f>IF(('[1]34. Spieltag'!T6=""),"",('[1]34. Spieltag'!T6))</f>
        <v>1</v>
      </c>
      <c r="V6" s="83">
        <f>IF(('[1]34. Spieltag'!U6=""),"",('[1]34. Spieltag'!U6))</f>
        <v>3</v>
      </c>
      <c r="W6" s="88">
        <f>IF(Auswertung!$I$2="",0,IF(AND(U6=Auswertung!$I$2,V6=Auswertung!$J$2),60,IF(U6-V6=Auswertung!$I$2-Auswertung!$J$2,40,IF(OR(AND(U6&gt;V6,Auswertung!$I$2&gt;Auswertung!$J$2),AND(U6&lt;V6,Auswertung!$I$2&lt;Auswertung!$J$2)),20,0))))</f>
        <v>0</v>
      </c>
    </row>
    <row r="7" spans="1:30" ht="11.25" customHeight="1" x14ac:dyDescent="0.2">
      <c r="A7" s="85"/>
      <c r="B7" s="86" t="str">
        <f>Auswertung!$D$3</f>
        <v>Union Berlin</v>
      </c>
      <c r="C7" s="87" t="str">
        <f>Auswertung!$E$3</f>
        <v>Freiburg</v>
      </c>
      <c r="E7" s="82">
        <f>IF(('[1]34. Spieltag'!D7=""),"",('[1]34. Spieltag'!D7))</f>
        <v>0</v>
      </c>
      <c r="F7" s="83">
        <f>IF(('[1]34. Spieltag'!E7=""),"",('[1]34. Spieltag'!E7))</f>
        <v>2</v>
      </c>
      <c r="G7" s="88">
        <f>IF(Auswertung!$I$3="",0,IF(AND(E7=Auswertung!$I$3,F7=Auswertung!$J$3),60,IF(E7-F7=Auswertung!$I$3-Auswertung!$J$3,40,IF(OR(AND(E7&gt;F7,Auswertung!$I$3&gt;Auswertung!$J$3),AND(E7&lt;F7,Auswertung!$I$3&lt;Auswertung!$J$3)),20,0))))</f>
        <v>0</v>
      </c>
      <c r="I7" s="82">
        <f>IF(('[1]34. Spieltag'!H7=""),"",('[1]34. Spieltag'!H7))</f>
        <v>0</v>
      </c>
      <c r="J7" s="83">
        <f>IF(('[1]34. Spieltag'!I7=""),"",('[1]34. Spieltag'!I7))</f>
        <v>2</v>
      </c>
      <c r="K7" s="88">
        <f>IF(Auswertung!$I$3="",0,IF(AND(I7=Auswertung!$I$3,J7=Auswertung!$J$3),60,IF(I7-J7=Auswertung!$I$3-Auswertung!$J$3,40,IF(OR(AND(I7&gt;J7,Auswertung!$I$3&gt;Auswertung!$J$3),AND(I7&lt;J7,Auswertung!$I$3&lt;Auswertung!$J$3)),20,0))))</f>
        <v>0</v>
      </c>
      <c r="M7" s="82">
        <f>IF(('[1]34. Spieltag'!L7=""),"",('[1]34. Spieltag'!L7))</f>
        <v>2</v>
      </c>
      <c r="N7" s="83">
        <f>IF(('[1]34. Spieltag'!M7=""),"",('[1]34. Spieltag'!M7))</f>
        <v>2</v>
      </c>
      <c r="O7" s="88">
        <f>IF(Auswertung!$I$3="",0,IF(AND(M7=Auswertung!$I$3,N7=Auswertung!$J$3),60,IF(M7-N7=Auswertung!$I$3-Auswertung!$J$3,40,IF(OR(AND(M7&gt;N7,Auswertung!$I$3&gt;Auswertung!$J$3),AND(M7&lt;N7,Auswertung!$I$3&lt;Auswertung!$J$3)),20,0))))</f>
        <v>0</v>
      </c>
      <c r="Q7" s="82">
        <f>IF(('[1]34. Spieltag'!P7=""),"",('[1]34. Spieltag'!P7))</f>
        <v>3</v>
      </c>
      <c r="R7" s="83">
        <f>IF(('[1]34. Spieltag'!Q7=""),"",('[1]34. Spieltag'!Q7))</f>
        <v>2</v>
      </c>
      <c r="S7" s="88">
        <f>IF(Auswertung!$I$3="",0,IF(AND(Q7=Auswertung!$I$3,R7=Auswertung!$J$3),60,IF(Q7-R7=Auswertung!$I$3-Auswertung!$J$3,40,IF(OR(AND(Q7&gt;R7,Auswertung!$I$3&gt;Auswertung!$J$3),AND(Q7&lt;R7,Auswertung!$I$3&lt;Auswertung!$J$3)),20,0))))</f>
        <v>40</v>
      </c>
      <c r="U7" s="82">
        <f>IF(('[1]34. Spieltag'!T7=""),"",('[1]34. Spieltag'!T7))</f>
        <v>3</v>
      </c>
      <c r="V7" s="83">
        <f>IF(('[1]34. Spieltag'!U7=""),"",('[1]34. Spieltag'!U7))</f>
        <v>2</v>
      </c>
      <c r="W7" s="88">
        <f>IF(Auswertung!$I$3="",0,IF(AND(U7=Auswertung!$I$3,V7=Auswertung!$J$3),60,IF(U7-V7=Auswertung!$I$3-Auswertung!$J$3,40,IF(OR(AND(U7&gt;V7,Auswertung!$I$3&gt;Auswertung!$J$3),AND(U7&lt;V7,Auswertung!$I$3&lt;Auswertung!$J$3)),20,0))))</f>
        <v>40</v>
      </c>
    </row>
    <row r="8" spans="1:30" ht="11.25" customHeight="1" x14ac:dyDescent="0.2">
      <c r="A8" s="85"/>
      <c r="B8" s="86" t="str">
        <f>Auswertung!$D$4</f>
        <v>Wolfsburg</v>
      </c>
      <c r="C8" s="87" t="str">
        <f>Auswertung!$E$4</f>
        <v>Mainz</v>
      </c>
      <c r="E8" s="82">
        <f>IF(('[1]34. Spieltag'!D8=""),"",('[1]34. Spieltag'!D8))</f>
        <v>1</v>
      </c>
      <c r="F8" s="83">
        <f>IF(('[1]34. Spieltag'!E8=""),"",('[1]34. Spieltag'!E8))</f>
        <v>3</v>
      </c>
      <c r="G8" s="88">
        <f>IF(Auswertung!$I$4="",0,IF(AND(E8=Auswertung!$I$4,F8=Auswertung!$J$4),60,IF(E8-F8=Auswertung!$I$4-Auswertung!$J$4,40,IF(OR(AND(E8&gt;F8,Auswertung!$I$4&gt;Auswertung!$J$4),AND(E8&lt;F8,Auswertung!$I$4&lt;Auswertung!$J$4)),20,0))))</f>
        <v>60</v>
      </c>
      <c r="I8" s="82">
        <f>IF(('[1]34. Spieltag'!H8=""),"",('[1]34. Spieltag'!H8))</f>
        <v>1</v>
      </c>
      <c r="J8" s="83">
        <f>IF(('[1]34. Spieltag'!I8=""),"",('[1]34. Spieltag'!I8))</f>
        <v>3</v>
      </c>
      <c r="K8" s="88">
        <f>IF(Auswertung!$I$4="",0,IF(AND(I8=Auswertung!$I$4,J8=Auswertung!$J$4),60,IF(I8-J8=Auswertung!$I$4-Auswertung!$J$4,40,IF(OR(AND(I8&gt;J8,Auswertung!$I$4&gt;Auswertung!$J$4),AND(I8&lt;J8,Auswertung!$I$4&lt;Auswertung!$J$4)),20,0))))</f>
        <v>60</v>
      </c>
      <c r="M8" s="82">
        <f>IF(('[1]34. Spieltag'!L8=""),"",('[1]34. Spieltag'!L8))</f>
        <v>2</v>
      </c>
      <c r="N8" s="83">
        <f>IF(('[1]34. Spieltag'!M8=""),"",('[1]34. Spieltag'!M8))</f>
        <v>2</v>
      </c>
      <c r="O8" s="88">
        <f>IF(Auswertung!$I$4="",0,IF(AND(M8=Auswertung!$I$4,N8=Auswertung!$J$4),60,IF(M8-N8=Auswertung!$I$4-Auswertung!$J$4,40,IF(OR(AND(M8&gt;N8,Auswertung!$I$4&gt;Auswertung!$J$4),AND(M8&lt;N8,Auswertung!$I$4&lt;Auswertung!$J$4)),20,0))))</f>
        <v>0</v>
      </c>
      <c r="Q8" s="82">
        <f>IF(('[1]34. Spieltag'!P8=""),"",('[1]34. Spieltag'!P8))</f>
        <v>3</v>
      </c>
      <c r="R8" s="83">
        <f>IF(('[1]34. Spieltag'!Q8=""),"",('[1]34. Spieltag'!Q8))</f>
        <v>1</v>
      </c>
      <c r="S8" s="88">
        <f>IF(Auswertung!$I$4="",0,IF(AND(Q8=Auswertung!$I$4,R8=Auswertung!$J$4),60,IF(Q8-R8=Auswertung!$I$4-Auswertung!$J$4,40,IF(OR(AND(Q8&gt;R8,Auswertung!$I$4&gt;Auswertung!$J$4),AND(Q8&lt;R8,Auswertung!$I$4&lt;Auswertung!$J$4)),20,0))))</f>
        <v>0</v>
      </c>
      <c r="U8" s="82">
        <f>IF(('[1]34. Spieltag'!T8=""),"",('[1]34. Spieltag'!T8))</f>
        <v>3</v>
      </c>
      <c r="V8" s="83">
        <f>IF(('[1]34. Spieltag'!U8=""),"",('[1]34. Spieltag'!U8))</f>
        <v>1</v>
      </c>
      <c r="W8" s="88">
        <f>IF(Auswertung!$I$4="",0,IF(AND(U8=Auswertung!$I$4,V8=Auswertung!$J$4),60,IF(U8-V8=Auswertung!$I$4-Auswertung!$J$4,40,IF(OR(AND(U8&gt;V8,Auswertung!$I$4&gt;Auswertung!$J$4),AND(U8&lt;V8,Auswertung!$I$4&lt;Auswertung!$J$4)),20,0))))</f>
        <v>0</v>
      </c>
    </row>
    <row r="9" spans="1:30" ht="11.25" customHeight="1" x14ac:dyDescent="0.2">
      <c r="A9" s="85"/>
      <c r="B9" s="86" t="str">
        <f>Auswertung!$D$5</f>
        <v>Stuttgart</v>
      </c>
      <c r="C9" s="87" t="str">
        <f>Auswertung!$E$5</f>
        <v>M'gladbach</v>
      </c>
      <c r="E9" s="82">
        <f>IF(('[1]34. Spieltag'!D9=""),"",('[1]34. Spieltag'!D9))</f>
        <v>3</v>
      </c>
      <c r="F9" s="83">
        <f>IF(('[1]34. Spieltag'!E9=""),"",('[1]34. Spieltag'!E9))</f>
        <v>0</v>
      </c>
      <c r="G9" s="88">
        <f>IF(Auswertung!$I$5="",0,IF(AND(E9=Auswertung!$I$5,F9=Auswertung!$J$5),60,IF(E9-F9=Auswertung!$I$5-Auswertung!$J$5,40,IF(OR(AND(E9&gt;F9,Auswertung!$I$5&gt;Auswertung!$J$5),AND(E9&lt;F9,Auswertung!$I$5&lt;Auswertung!$J$5)),20,0))))</f>
        <v>20</v>
      </c>
      <c r="I9" s="82">
        <f>IF(('[1]34. Spieltag'!H9=""),"",('[1]34. Spieltag'!H9))</f>
        <v>3</v>
      </c>
      <c r="J9" s="83">
        <f>IF(('[1]34. Spieltag'!I9=""),"",('[1]34. Spieltag'!I9))</f>
        <v>0</v>
      </c>
      <c r="K9" s="88">
        <f>IF(Auswertung!$I$5="",0,IF(AND(I9=Auswertung!$I$5,J9=Auswertung!$J$5),60,IF(I9-J9=Auswertung!$I$5-Auswertung!$J$5,40,IF(OR(AND(I9&gt;J9,Auswertung!$I$5&gt;Auswertung!$J$5),AND(I9&lt;J9,Auswertung!$I$5&lt;Auswertung!$J$5)),20,0))))</f>
        <v>20</v>
      </c>
      <c r="M9" s="82">
        <f>IF(('[1]34. Spieltag'!L9=""),"",('[1]34. Spieltag'!L9))</f>
        <v>4</v>
      </c>
      <c r="N9" s="83">
        <f>IF(('[1]34. Spieltag'!M9=""),"",('[1]34. Spieltag'!M9))</f>
        <v>1</v>
      </c>
      <c r="O9" s="88">
        <f>IF(Auswertung!$I$5="",0,IF(AND(M9=Auswertung!$I$5,N9=Auswertung!$J$5),60,IF(M9-N9=Auswertung!$I$5-Auswertung!$J$5,40,IF(OR(AND(M9&gt;N9,Auswertung!$I$5&gt;Auswertung!$J$5),AND(M9&lt;N9,Auswertung!$I$5&lt;Auswertung!$J$5)),20,0))))</f>
        <v>20</v>
      </c>
      <c r="Q9" s="82">
        <f>IF(('[1]34. Spieltag'!P9=""),"",('[1]34. Spieltag'!P9))</f>
        <v>4</v>
      </c>
      <c r="R9" s="83">
        <f>IF(('[1]34. Spieltag'!Q9=""),"",('[1]34. Spieltag'!Q9))</f>
        <v>1</v>
      </c>
      <c r="S9" s="88">
        <f>IF(Auswertung!$I$5="",0,IF(AND(Q9=Auswertung!$I$5,R9=Auswertung!$J$5),60,IF(Q9-R9=Auswertung!$I$5-Auswertung!$J$5,40,IF(OR(AND(Q9&gt;R9,Auswertung!$I$5&gt;Auswertung!$J$5),AND(Q9&lt;R9,Auswertung!$I$5&lt;Auswertung!$J$5)),20,0))))</f>
        <v>20</v>
      </c>
      <c r="U9" s="82">
        <f>IF(('[1]34. Spieltag'!T9=""),"",('[1]34. Spieltag'!T9))</f>
        <v>4</v>
      </c>
      <c r="V9" s="83">
        <f>IF(('[1]34. Spieltag'!U9=""),"",('[1]34. Spieltag'!U9))</f>
        <v>1</v>
      </c>
      <c r="W9" s="88">
        <f>IF(Auswertung!$I$5="",0,IF(AND(U9=Auswertung!$I$5,V9=Auswertung!$J$5),60,IF(U9-V9=Auswertung!$I$5-Auswertung!$J$5,40,IF(OR(AND(U9&gt;V9,Auswertung!$I$5&gt;Auswertung!$J$5),AND(U9&lt;V9,Auswertung!$I$5&lt;Auswertung!$J$5)),20,0))))</f>
        <v>20</v>
      </c>
    </row>
    <row r="10" spans="1:30" ht="11.25" customHeight="1" x14ac:dyDescent="0.2">
      <c r="A10" s="85"/>
      <c r="B10" s="86" t="str">
        <f>Auswertung!$D$6</f>
        <v>Heidenheim</v>
      </c>
      <c r="C10" s="87" t="str">
        <f>Auswertung!$E$6</f>
        <v>Köln</v>
      </c>
      <c r="E10" s="82">
        <f>IF(('[1]34. Spieltag'!D10=""),"",('[1]34. Spieltag'!D10))</f>
        <v>1</v>
      </c>
      <c r="F10" s="83">
        <f>IF(('[1]34. Spieltag'!E10=""),"",('[1]34. Spieltag'!E10))</f>
        <v>2</v>
      </c>
      <c r="G10" s="88">
        <f>IF(Auswertung!$I$6="",0,IF(AND(E10=Auswertung!$I$6,F10=Auswertung!$J$6),60,IF(E10-F10=Auswertung!$I$6-Auswertung!$J$6,40,IF(OR(AND(E10&gt;F10,Auswertung!$I$6&gt;Auswertung!$J$6),AND(E10&lt;F10,Auswertung!$I$6&lt;Auswertung!$J$6)),20,0))))</f>
        <v>0</v>
      </c>
      <c r="I10" s="82">
        <f>IF(('[1]34. Spieltag'!H10=""),"",('[1]34. Spieltag'!H10))</f>
        <v>1</v>
      </c>
      <c r="J10" s="83">
        <f>IF(('[1]34. Spieltag'!I10=""),"",('[1]34. Spieltag'!I10))</f>
        <v>2</v>
      </c>
      <c r="K10" s="88">
        <f>IF(Auswertung!$I$6="",0,IF(AND(I10=Auswertung!$I$6,J10=Auswertung!$J$6),60,IF(I10-J10=Auswertung!$I$6-Auswertung!$J$6,40,IF(OR(AND(I10&gt;J10,Auswertung!$I$6&gt;Auswertung!$J$6),AND(I10&lt;J10,Auswertung!$I$6&lt;Auswertung!$J$6)),20,0))))</f>
        <v>0</v>
      </c>
      <c r="M10" s="82">
        <f>IF(('[1]34. Spieltag'!L10=""),"",('[1]34. Spieltag'!L10))</f>
        <v>2</v>
      </c>
      <c r="N10" s="83">
        <f>IF(('[1]34. Spieltag'!M10=""),"",('[1]34. Spieltag'!M10))</f>
        <v>2</v>
      </c>
      <c r="O10" s="88">
        <f>IF(Auswertung!$I$6="",0,IF(AND(M10=Auswertung!$I$6,N10=Auswertung!$J$6),60,IF(M10-N10=Auswertung!$I$6-Auswertung!$J$6,40,IF(OR(AND(M10&gt;N10,Auswertung!$I$6&gt;Auswertung!$J$6),AND(M10&lt;N10,Auswertung!$I$6&lt;Auswertung!$J$6)),20,0))))</f>
        <v>0</v>
      </c>
      <c r="Q10" s="82">
        <f>IF(('[1]34. Spieltag'!P10=""),"",('[1]34. Spieltag'!P10))</f>
        <v>2</v>
      </c>
      <c r="R10" s="83">
        <f>IF(('[1]34. Spieltag'!Q10=""),"",('[1]34. Spieltag'!Q10))</f>
        <v>2</v>
      </c>
      <c r="S10" s="88">
        <f>IF(Auswertung!$I$6="",0,IF(AND(Q10=Auswertung!$I$6,R10=Auswertung!$J$6),60,IF(Q10-R10=Auswertung!$I$6-Auswertung!$J$6,40,IF(OR(AND(Q10&gt;R10,Auswertung!$I$6&gt;Auswertung!$J$6),AND(Q10&lt;R10,Auswertung!$I$6&lt;Auswertung!$J$6)),20,0))))</f>
        <v>0</v>
      </c>
      <c r="U10" s="82">
        <f>IF(('[1]34. Spieltag'!T10=""),"",('[1]34. Spieltag'!T10))</f>
        <v>2</v>
      </c>
      <c r="V10" s="83">
        <f>IF(('[1]34. Spieltag'!U10=""),"",('[1]34. Spieltag'!U10))</f>
        <v>2</v>
      </c>
      <c r="W10" s="88">
        <f>IF(Auswertung!$I$6="",0,IF(AND(U10=Auswertung!$I$6,V10=Auswertung!$J$6),60,IF(U10-V10=Auswertung!$I$6-Auswertung!$J$6,40,IF(OR(AND(U10&gt;V10,Auswertung!$I$6&gt;Auswertung!$J$6),AND(U10&lt;V10,Auswertung!$I$6&lt;Auswertung!$J$6)),20,0))))</f>
        <v>0</v>
      </c>
    </row>
    <row r="11" spans="1:30" ht="11.25" customHeight="1" x14ac:dyDescent="0.2">
      <c r="A11" s="85"/>
      <c r="B11" s="86" t="str">
        <f>Auswertung!$D$7</f>
        <v>Bremen</v>
      </c>
      <c r="C11" s="87" t="str">
        <f>Auswertung!$E$7</f>
        <v>Bochum</v>
      </c>
      <c r="E11" s="82">
        <f>IF(('[1]34. Spieltag'!D11=""),"",('[1]34. Spieltag'!D11))</f>
        <v>2</v>
      </c>
      <c r="F11" s="83">
        <f>IF(('[1]34. Spieltag'!E11=""),"",('[1]34. Spieltag'!E11))</f>
        <v>1</v>
      </c>
      <c r="G11" s="88">
        <f>IF(Auswertung!$I$7="",0,IF(AND(E11=Auswertung!$I$7,F11=Auswertung!$J$7),60,IF(E11-F11=Auswertung!$I$7-Auswertung!$J$7,40,IF(OR(AND(E11&gt;F11,Auswertung!$I$7&gt;Auswertung!$J$7),AND(E11&lt;F11,Auswertung!$I$7&lt;Auswertung!$J$7)),20,0))))</f>
        <v>20</v>
      </c>
      <c r="I11" s="82">
        <f>IF(('[1]34. Spieltag'!H11=""),"",('[1]34. Spieltag'!H11))</f>
        <v>2</v>
      </c>
      <c r="J11" s="83">
        <f>IF(('[1]34. Spieltag'!I11=""),"",('[1]34. Spieltag'!I11))</f>
        <v>1</v>
      </c>
      <c r="K11" s="88">
        <f>IF(Auswertung!$I$7="",0,IF(AND(I11=Auswertung!$I$7,J11=Auswertung!$J$7),60,IF(I11-J11=Auswertung!$I$7-Auswertung!$J$7,40,IF(OR(AND(I11&gt;J11,Auswertung!$I$7&gt;Auswertung!$J$7),AND(I11&lt;J11,Auswertung!$I$7&lt;Auswertung!$J$7)),20,0))))</f>
        <v>20</v>
      </c>
      <c r="M11" s="82">
        <f>IF(('[1]34. Spieltag'!L11=""),"",('[1]34. Spieltag'!L11))</f>
        <v>3</v>
      </c>
      <c r="N11" s="83">
        <f>IF(('[1]34. Spieltag'!M11=""),"",('[1]34. Spieltag'!M11))</f>
        <v>2</v>
      </c>
      <c r="O11" s="88">
        <f>IF(Auswertung!$I$7="",0,IF(AND(M11=Auswertung!$I$7,N11=Auswertung!$J$7),60,IF(M11-N11=Auswertung!$I$7-Auswertung!$J$7,40,IF(OR(AND(M11&gt;N11,Auswertung!$I$7&gt;Auswertung!$J$7),AND(M11&lt;N11,Auswertung!$I$7&lt;Auswertung!$J$7)),20,0))))</f>
        <v>20</v>
      </c>
      <c r="Q11" s="82">
        <f>IF(('[1]34. Spieltag'!P11=""),"",('[1]34. Spieltag'!P11))</f>
        <v>3</v>
      </c>
      <c r="R11" s="83">
        <f>IF(('[1]34. Spieltag'!Q11=""),"",('[1]34. Spieltag'!Q11))</f>
        <v>2</v>
      </c>
      <c r="S11" s="88">
        <f>IF(Auswertung!$I$7="",0,IF(AND(Q11=Auswertung!$I$7,R11=Auswertung!$J$7),60,IF(Q11-R11=Auswertung!$I$7-Auswertung!$J$7,40,IF(OR(AND(Q11&gt;R11,Auswertung!$I$7&gt;Auswertung!$J$7),AND(Q11&lt;R11,Auswertung!$I$7&lt;Auswertung!$J$7)),20,0))))</f>
        <v>20</v>
      </c>
      <c r="U11" s="82">
        <f>IF(('[1]34. Spieltag'!T11=""),"",('[1]34. Spieltag'!T11))</f>
        <v>3</v>
      </c>
      <c r="V11" s="83">
        <f>IF(('[1]34. Spieltag'!U11=""),"",('[1]34. Spieltag'!U11))</f>
        <v>2</v>
      </c>
      <c r="W11" s="88">
        <f>IF(Auswertung!$I$7="",0,IF(AND(U11=Auswertung!$I$7,V11=Auswertung!$J$7),60,IF(U11-V11=Auswertung!$I$7-Auswertung!$J$7,40,IF(OR(AND(U11&gt;V11,Auswertung!$I$7&gt;Auswertung!$J$7),AND(U11&lt;V11,Auswertung!$I$7&lt;Auswertung!$J$7)),20,0))))</f>
        <v>20</v>
      </c>
    </row>
    <row r="12" spans="1:30" ht="11.25" customHeight="1" x14ac:dyDescent="0.2">
      <c r="A12" s="85"/>
      <c r="B12" s="86" t="str">
        <f>Auswertung!$D$8</f>
        <v>Leverkusen</v>
      </c>
      <c r="C12" s="87" t="str">
        <f>Auswertung!$E$8</f>
        <v>Augsburg</v>
      </c>
      <c r="E12" s="82">
        <f>IF(('[1]34. Spieltag'!D12=""),"",('[1]34. Spieltag'!D12))</f>
        <v>4</v>
      </c>
      <c r="F12" s="83">
        <f>IF(('[1]34. Spieltag'!E12=""),"",('[1]34. Spieltag'!E12))</f>
        <v>1</v>
      </c>
      <c r="G12" s="88">
        <f>IF(Auswertung!$I$8="",0,IF(AND(E12=Auswertung!$I$8,F12=Auswertung!$J$8),60,IF(E12-F12=Auswertung!$I$8-Auswertung!$J$8,40,IF(OR(AND(E12&gt;F12,Auswertung!$I$8&gt;Auswertung!$J$8),AND(E12&lt;F12,Auswertung!$I$8&lt;Auswertung!$J$8)),20,0))))</f>
        <v>20</v>
      </c>
      <c r="I12" s="82">
        <f>IF(('[1]34. Spieltag'!H12=""),"",('[1]34. Spieltag'!H12))</f>
        <v>4</v>
      </c>
      <c r="J12" s="83">
        <f>IF(('[1]34. Spieltag'!I12=""),"",('[1]34. Spieltag'!I12))</f>
        <v>1</v>
      </c>
      <c r="K12" s="88">
        <f>IF(Auswertung!$I$8="",0,IF(AND(I12=Auswertung!$I$8,J12=Auswertung!$J$8),60,IF(I12-J12=Auswertung!$I$8-Auswertung!$J$8,40,IF(OR(AND(I12&gt;J12,Auswertung!$I$8&gt;Auswertung!$J$8),AND(I12&lt;J12,Auswertung!$I$8&lt;Auswertung!$J$8)),20,0))))</f>
        <v>20</v>
      </c>
      <c r="M12" s="82">
        <f>IF(('[1]34. Spieltag'!L12=""),"",('[1]34. Spieltag'!L12))</f>
        <v>4</v>
      </c>
      <c r="N12" s="83">
        <f>IF(('[1]34. Spieltag'!M12=""),"",('[1]34. Spieltag'!M12))</f>
        <v>1</v>
      </c>
      <c r="O12" s="88">
        <f>IF(Auswertung!$I$8="",0,IF(AND(M12=Auswertung!$I$8,N12=Auswertung!$J$8),60,IF(M12-N12=Auswertung!$I$8-Auswertung!$J$8,40,IF(OR(AND(M12&gt;N12,Auswertung!$I$8&gt;Auswertung!$J$8),AND(M12&lt;N12,Auswertung!$I$8&lt;Auswertung!$J$8)),20,0))))</f>
        <v>20</v>
      </c>
      <c r="Q12" s="82">
        <f>IF(('[1]34. Spieltag'!P12=""),"",('[1]34. Spieltag'!P12))</f>
        <v>4</v>
      </c>
      <c r="R12" s="83">
        <f>IF(('[1]34. Spieltag'!Q12=""),"",('[1]34. Spieltag'!Q12))</f>
        <v>1</v>
      </c>
      <c r="S12" s="88">
        <f>IF(Auswertung!$I$8="",0,IF(AND(Q12=Auswertung!$I$8,R12=Auswertung!$J$8),60,IF(Q12-R12=Auswertung!$I$8-Auswertung!$J$8,40,IF(OR(AND(Q12&gt;R12,Auswertung!$I$8&gt;Auswertung!$J$8),AND(Q12&lt;R12,Auswertung!$I$8&lt;Auswertung!$J$8)),20,0))))</f>
        <v>20</v>
      </c>
      <c r="U12" s="82">
        <f>IF(('[1]34. Spieltag'!T12=""),"",('[1]34. Spieltag'!T12))</f>
        <v>4</v>
      </c>
      <c r="V12" s="83">
        <f>IF(('[1]34. Spieltag'!U12=""),"",('[1]34. Spieltag'!U12))</f>
        <v>1</v>
      </c>
      <c r="W12" s="88">
        <f>IF(Auswertung!$I$8="",0,IF(AND(U12=Auswertung!$I$8,V12=Auswertung!$J$8),60,IF(U12-V12=Auswertung!$I$8-Auswertung!$J$8,40,IF(OR(AND(U12&gt;V12,Auswertung!$I$8&gt;Auswertung!$J$8),AND(U12&lt;V12,Auswertung!$I$8&lt;Auswertung!$J$8)),20,0))))</f>
        <v>20</v>
      </c>
    </row>
    <row r="13" spans="1:30" ht="11.25" customHeight="1" thickBot="1" x14ac:dyDescent="0.25">
      <c r="A13" s="89"/>
      <c r="B13" s="90" t="str">
        <f>Auswertung!$D$9</f>
        <v>Dortmund</v>
      </c>
      <c r="C13" s="91" t="str">
        <f>Auswertung!$E$9</f>
        <v>Darmstadt</v>
      </c>
      <c r="E13" s="82">
        <f>IF(('[1]34. Spieltag'!D13=""),"",('[1]34. Spieltag'!D13))</f>
        <v>5</v>
      </c>
      <c r="F13" s="83">
        <f>IF(('[1]34. Spieltag'!E13=""),"",('[1]34. Spieltag'!E13))</f>
        <v>0</v>
      </c>
      <c r="G13" s="92">
        <f>IF(Auswertung!$I$9="",0,IF(AND(E13=Auswertung!$I$9,F13=Auswertung!$J$9),60,IF(E13-F13=Auswertung!$I$9-Auswertung!$J$9,40,IF(OR(AND(E13&gt;F13,Auswertung!$I$9&gt;Auswertung!$J$9),AND(E13&lt;F13,Auswertung!$I$9&lt;Auswertung!$J$9)),20,0))))</f>
        <v>20</v>
      </c>
      <c r="I13" s="82">
        <f>IF(('[1]34. Spieltag'!H13=""),"",('[1]34. Spieltag'!H13))</f>
        <v>5</v>
      </c>
      <c r="J13" s="83">
        <f>IF(('[1]34. Spieltag'!I13=""),"",('[1]34. Spieltag'!I13))</f>
        <v>0</v>
      </c>
      <c r="K13" s="92">
        <f>IF(Auswertung!$I$9="",0,IF(AND(I13=Auswertung!$I$9,J13=Auswertung!$J$9),60,IF(I13-J13=Auswertung!$I$9-Auswertung!$J$9,40,IF(OR(AND(I13&gt;J13,Auswertung!$I$9&gt;Auswertung!$J$9),AND(I13&lt;J13,Auswertung!$I$9&lt;Auswertung!$J$9)),20,0))))</f>
        <v>20</v>
      </c>
      <c r="M13" s="82">
        <f>IF(('[1]34. Spieltag'!L13=""),"",('[1]34. Spieltag'!L13))</f>
        <v>5</v>
      </c>
      <c r="N13" s="83">
        <f>IF(('[1]34. Spieltag'!M13=""),"",('[1]34. Spieltag'!M13))</f>
        <v>1</v>
      </c>
      <c r="O13" s="92">
        <f>IF(Auswertung!$I$9="",0,IF(AND(M13=Auswertung!$I$9,N13=Auswertung!$J$9),60,IF(M13-N13=Auswertung!$I$9-Auswertung!$J$9,40,IF(OR(AND(M13&gt;N13,Auswertung!$I$9&gt;Auswertung!$J$9),AND(M13&lt;N13,Auswertung!$I$9&lt;Auswertung!$J$9)),20,0))))</f>
        <v>40</v>
      </c>
      <c r="Q13" s="82">
        <f>IF(('[1]34. Spieltag'!P13=""),"",('[1]34. Spieltag'!P13))</f>
        <v>4</v>
      </c>
      <c r="R13" s="83">
        <f>IF(('[1]34. Spieltag'!Q13=""),"",('[1]34. Spieltag'!Q13))</f>
        <v>1</v>
      </c>
      <c r="S13" s="92">
        <f>IF(Auswertung!$I$9="",0,IF(AND(Q13=Auswertung!$I$9,R13=Auswertung!$J$9),60,IF(Q13-R13=Auswertung!$I$9-Auswertung!$J$9,40,IF(OR(AND(Q13&gt;R13,Auswertung!$I$9&gt;Auswertung!$J$9),AND(Q13&lt;R13,Auswertung!$I$9&lt;Auswertung!$J$9)),20,0))))</f>
        <v>20</v>
      </c>
      <c r="U13" s="82">
        <f>IF(('[1]34. Spieltag'!T13=""),"",('[1]34. Spieltag'!T13))</f>
        <v>4</v>
      </c>
      <c r="V13" s="83">
        <f>IF(('[1]34. Spieltag'!U13=""),"",('[1]34. Spieltag'!U13))</f>
        <v>1</v>
      </c>
      <c r="W13" s="92">
        <f>IF(Auswertung!$I$9="",0,IF(AND(U13=Auswertung!$I$9,V13=Auswertung!$J$9),60,IF(U13-V13=Auswertung!$I$9-Auswertung!$J$9,40,IF(OR(AND(U13&gt;V13,Auswertung!$I$9&gt;Auswertung!$J$9),AND(U13&lt;V13,Auswertung!$I$9&lt;Auswertung!$J$9)),20,0))))</f>
        <v>20</v>
      </c>
    </row>
    <row r="14" spans="1:30" ht="11.25" customHeight="1" thickBot="1" x14ac:dyDescent="0.25">
      <c r="G14" s="47">
        <f>SUM(G5:G13)</f>
        <v>200</v>
      </c>
      <c r="K14" s="47">
        <f>SUM(K5:K13)</f>
        <v>200</v>
      </c>
      <c r="O14" s="47">
        <f>SUM(O5:O13)</f>
        <v>100</v>
      </c>
      <c r="S14" s="47">
        <f>SUM(S5:S13)</f>
        <v>120</v>
      </c>
      <c r="W14" s="47">
        <f>SUM(W5:W13)</f>
        <v>120</v>
      </c>
    </row>
    <row r="15" spans="1:30" ht="6" customHeight="1" x14ac:dyDescent="0.2">
      <c r="G15" s="49"/>
      <c r="K15" s="49"/>
      <c r="O15" s="49"/>
      <c r="S15" s="49"/>
      <c r="W15" s="49"/>
      <c r="Z15" s="49"/>
      <c r="AD15" s="49"/>
    </row>
    <row r="16" spans="1:30" ht="11.25" customHeight="1" x14ac:dyDescent="0.2">
      <c r="E16" s="252" t="s">
        <v>90</v>
      </c>
      <c r="F16" s="253"/>
      <c r="G16" s="254"/>
      <c r="H16" s="34"/>
      <c r="I16" s="243" t="s">
        <v>79</v>
      </c>
      <c r="J16" s="244"/>
      <c r="K16" s="245"/>
      <c r="L16" s="34"/>
      <c r="M16" s="243" t="s">
        <v>100</v>
      </c>
      <c r="N16" s="244"/>
      <c r="O16" s="245"/>
      <c r="P16" s="34"/>
      <c r="Q16" s="243" t="s">
        <v>78</v>
      </c>
      <c r="R16" s="244"/>
      <c r="S16" s="245"/>
      <c r="T16" s="34"/>
      <c r="U16" s="34"/>
      <c r="V16" s="26"/>
      <c r="W16" s="26"/>
      <c r="Y16" s="26"/>
      <c r="Z16" s="26"/>
      <c r="AB16" s="26"/>
      <c r="AC16" s="26"/>
      <c r="AD16" s="26"/>
    </row>
    <row r="17" spans="1:30" ht="11.25" customHeight="1" x14ac:dyDescent="0.2">
      <c r="E17" s="255"/>
      <c r="F17" s="256"/>
      <c r="G17" s="257"/>
      <c r="H17" s="34"/>
      <c r="I17" s="246"/>
      <c r="J17" s="247"/>
      <c r="K17" s="248"/>
      <c r="L17" s="34"/>
      <c r="M17" s="246"/>
      <c r="N17" s="247"/>
      <c r="O17" s="248"/>
      <c r="P17" s="34"/>
      <c r="Q17" s="246"/>
      <c r="R17" s="247"/>
      <c r="S17" s="248"/>
      <c r="T17" s="34"/>
      <c r="U17" s="34"/>
      <c r="V17" s="26"/>
      <c r="W17" s="26"/>
      <c r="Y17" s="26"/>
      <c r="Z17" s="26"/>
      <c r="AB17" s="26"/>
      <c r="AC17" s="26"/>
      <c r="AD17" s="26"/>
    </row>
    <row r="18" spans="1:30" ht="11.25" customHeight="1" thickBot="1" x14ac:dyDescent="0.25">
      <c r="E18" s="258"/>
      <c r="F18" s="259"/>
      <c r="G18" s="260"/>
      <c r="H18" s="34"/>
      <c r="I18" s="249"/>
      <c r="J18" s="250"/>
      <c r="K18" s="251"/>
      <c r="L18" s="34"/>
      <c r="M18" s="249"/>
      <c r="N18" s="250"/>
      <c r="O18" s="251"/>
      <c r="P18" s="34"/>
      <c r="Q18" s="249"/>
      <c r="R18" s="250"/>
      <c r="S18" s="251"/>
      <c r="T18" s="34"/>
      <c r="U18" s="34"/>
      <c r="V18" s="26"/>
      <c r="W18" s="26"/>
      <c r="Y18" s="26"/>
      <c r="Z18" s="26"/>
      <c r="AB18" s="26"/>
      <c r="AC18" s="26"/>
      <c r="AD18" s="26"/>
    </row>
    <row r="19" spans="1:30" ht="11.25" customHeight="1" thickBot="1" x14ac:dyDescent="0.25">
      <c r="A19" s="74"/>
      <c r="B19" s="75"/>
      <c r="C19" s="74"/>
      <c r="E19" s="76"/>
      <c r="F19" s="77" t="s">
        <v>12</v>
      </c>
      <c r="G19" s="78" t="s">
        <v>6</v>
      </c>
      <c r="I19" s="76"/>
      <c r="J19" s="77" t="s">
        <v>12</v>
      </c>
      <c r="K19" s="78" t="s">
        <v>6</v>
      </c>
      <c r="M19" s="76"/>
      <c r="N19" s="77" t="s">
        <v>12</v>
      </c>
      <c r="O19" s="78" t="s">
        <v>6</v>
      </c>
      <c r="Q19" s="76"/>
      <c r="R19" s="77" t="s">
        <v>12</v>
      </c>
      <c r="S19" s="78" t="s">
        <v>6</v>
      </c>
      <c r="U19" s="26"/>
      <c r="V19" s="26"/>
      <c r="W19" s="26"/>
      <c r="Y19" s="26"/>
      <c r="Z19" s="26"/>
      <c r="AB19" s="26"/>
      <c r="AC19" s="26"/>
      <c r="AD19" s="26"/>
    </row>
    <row r="20" spans="1:30" ht="11.25" customHeight="1" x14ac:dyDescent="0.2">
      <c r="A20" s="79"/>
      <c r="B20" s="80" t="str">
        <f>Auswertung!$D$1</f>
        <v>Hoffenheim</v>
      </c>
      <c r="C20" s="81" t="str">
        <f>Auswertung!$E$1</f>
        <v>München</v>
      </c>
      <c r="E20" s="82">
        <f>IF(('[1]34. Spieltag'!D20=""),"",('[1]34. Spieltag'!D20))</f>
        <v>1</v>
      </c>
      <c r="F20" s="83">
        <f>IF(('[1]34. Spieltag'!E20=""),"",('[1]34. Spieltag'!E20))</f>
        <v>4</v>
      </c>
      <c r="G20" s="84">
        <f>IF(Auswertung!$I$1="",0,IF(AND(E20=Auswertung!$I$1,F20=Auswertung!$J$1),60,IF(E20-F20=Auswertung!$I$1-Auswertung!$J$1,40,IF(OR(AND(E20&gt;F20,Auswertung!$I$1&gt;Auswertung!$J$1),AND(E20&lt;F20,Auswertung!$I$1&lt;Auswertung!$J$1)),20,0))))</f>
        <v>0</v>
      </c>
      <c r="I20" s="82">
        <f>IF(('[1]34. Spieltag'!H20=""),"",('[1]34. Spieltag'!H20))</f>
        <v>1</v>
      </c>
      <c r="J20" s="83">
        <f>IF(('[1]34. Spieltag'!I20=""),"",('[1]34. Spieltag'!I20))</f>
        <v>4</v>
      </c>
      <c r="K20" s="84">
        <f>IF(Auswertung!$I$1="",0,IF(AND(I20=Auswertung!$I$1,J20=Auswertung!$J$1),60,IF(I20-J20=Auswertung!$I$1-Auswertung!$J$1,40,IF(OR(AND(I20&gt;J20,Auswertung!$I$1&gt;Auswertung!$J$1),AND(I20&lt;J20,Auswertung!$I$1&lt;Auswertung!$J$1)),20,0))))</f>
        <v>0</v>
      </c>
      <c r="M20" s="82">
        <f>IF(('[1]34. Spieltag'!L20=""),"",('[1]34. Spieltag'!L20))</f>
        <v>1</v>
      </c>
      <c r="N20" s="83">
        <f>IF(('[1]34. Spieltag'!M20=""),"",('[1]34. Spieltag'!M20))</f>
        <v>3</v>
      </c>
      <c r="O20" s="84">
        <f>IF(Auswertung!$I$1="",0,IF(AND(M20=Auswertung!$I$1,N20=Auswertung!$J$1),60,IF(M20-N20=Auswertung!$I$1-Auswertung!$J$1,40,IF(OR(AND(M20&gt;N20,Auswertung!$I$1&gt;Auswertung!$J$1),AND(M20&lt;N20,Auswertung!$I$1&lt;Auswertung!$J$1)),20,0))))</f>
        <v>0</v>
      </c>
      <c r="Q20" s="82">
        <f>IF(('[1]34. Spieltag'!P20=""),"",('[1]34. Spieltag'!P20))</f>
        <v>0</v>
      </c>
      <c r="R20" s="83">
        <f>IF(('[1]34. Spieltag'!Q20=""),"",('[1]34. Spieltag'!Q20))</f>
        <v>2</v>
      </c>
      <c r="S20" s="84">
        <f>IF(Auswertung!$I$1="",0,IF(AND(Q20=Auswertung!$I$1,R20=Auswertung!$J$1),60,IF(Q20-R20=Auswertung!$I$1-Auswertung!$J$1,40,IF(OR(AND(Q20&gt;R20,Auswertung!$I$1&gt;Auswertung!$J$1),AND(Q20&lt;R20,Auswertung!$I$1&lt;Auswertung!$J$1)),20,0))))</f>
        <v>0</v>
      </c>
      <c r="U20" s="26"/>
      <c r="V20" s="26"/>
      <c r="W20" s="26"/>
      <c r="Y20" s="26"/>
      <c r="Z20" s="26"/>
      <c r="AB20" s="26"/>
      <c r="AC20" s="26"/>
      <c r="AD20" s="26"/>
    </row>
    <row r="21" spans="1:30" ht="11.25" customHeight="1" x14ac:dyDescent="0.2">
      <c r="A21" s="85"/>
      <c r="B21" s="86" t="str">
        <f>Auswertung!$D$2</f>
        <v>Frankfurt</v>
      </c>
      <c r="C21" s="87" t="str">
        <f>Auswertung!$E$2</f>
        <v>Leipzig</v>
      </c>
      <c r="E21" s="82">
        <f>IF(('[1]34. Spieltag'!D21=""),"",('[1]34. Spieltag'!D21))</f>
        <v>1</v>
      </c>
      <c r="F21" s="83">
        <f>IF(('[1]34. Spieltag'!E21=""),"",('[1]34. Spieltag'!E21))</f>
        <v>3</v>
      </c>
      <c r="G21" s="88">
        <f>IF(Auswertung!$I$2="",0,IF(AND(E21=Auswertung!$I$2,F21=Auswertung!$J$2),60,IF(E21-F21=Auswertung!$I$2-Auswertung!$J$2,40,IF(OR(AND(E21&gt;F21,Auswertung!$I$2&gt;Auswertung!$J$2),AND(E21&lt;F21,Auswertung!$I$2&lt;Auswertung!$J$2)),20,0))))</f>
        <v>0</v>
      </c>
      <c r="I21" s="82">
        <f>IF(('[1]34. Spieltag'!H21=""),"",('[1]34. Spieltag'!H21))</f>
        <v>1</v>
      </c>
      <c r="J21" s="83">
        <f>IF(('[1]34. Spieltag'!I21=""),"",('[1]34. Spieltag'!I21))</f>
        <v>3</v>
      </c>
      <c r="K21" s="88">
        <f>IF(Auswertung!$I$2="",0,IF(AND(I21=Auswertung!$I$2,J21=Auswertung!$J$2),60,IF(I21-J21=Auswertung!$I$2-Auswertung!$J$2,40,IF(OR(AND(I21&gt;J21,Auswertung!$I$2&gt;Auswertung!$J$2),AND(I21&lt;J21,Auswertung!$I$2&lt;Auswertung!$J$2)),20,0))))</f>
        <v>0</v>
      </c>
      <c r="M21" s="82">
        <f>IF(('[1]34. Spieltag'!L21=""),"",('[1]34. Spieltag'!L21))</f>
        <v>1</v>
      </c>
      <c r="N21" s="83">
        <f>IF(('[1]34. Spieltag'!M21=""),"",('[1]34. Spieltag'!M21))</f>
        <v>2</v>
      </c>
      <c r="O21" s="88">
        <f>IF(Auswertung!$I$2="",0,IF(AND(M21=Auswertung!$I$2,N21=Auswertung!$J$2),60,IF(M21-N21=Auswertung!$I$2-Auswertung!$J$2,40,IF(OR(AND(M21&gt;N21,Auswertung!$I$2&gt;Auswertung!$J$2),AND(M21&lt;N21,Auswertung!$I$2&lt;Auswertung!$J$2)),20,0))))</f>
        <v>0</v>
      </c>
      <c r="Q21" s="82">
        <f>IF(('[1]34. Spieltag'!P21=""),"",('[1]34. Spieltag'!P21))</f>
        <v>1</v>
      </c>
      <c r="R21" s="83">
        <f>IF(('[1]34. Spieltag'!Q21=""),"",('[1]34. Spieltag'!Q21))</f>
        <v>2</v>
      </c>
      <c r="S21" s="88">
        <f>IF(Auswertung!$I$2="",0,IF(AND(Q21=Auswertung!$I$2,R21=Auswertung!$J$2),60,IF(Q21-R21=Auswertung!$I$2-Auswertung!$J$2,40,IF(OR(AND(Q21&gt;R21,Auswertung!$I$2&gt;Auswertung!$J$2),AND(Q21&lt;R21,Auswertung!$I$2&lt;Auswertung!$J$2)),20,0))))</f>
        <v>0</v>
      </c>
      <c r="U21" s="26"/>
      <c r="V21" s="26"/>
      <c r="W21" s="26"/>
      <c r="Y21" s="26"/>
      <c r="Z21" s="26"/>
      <c r="AB21" s="26"/>
      <c r="AC21" s="26"/>
      <c r="AD21" s="26"/>
    </row>
    <row r="22" spans="1:30" ht="11.25" customHeight="1" x14ac:dyDescent="0.2">
      <c r="A22" s="85"/>
      <c r="B22" s="86" t="str">
        <f>Auswertung!$D$3</f>
        <v>Union Berlin</v>
      </c>
      <c r="C22" s="87" t="str">
        <f>Auswertung!$E$3</f>
        <v>Freiburg</v>
      </c>
      <c r="E22" s="82">
        <f>IF(('[1]34. Spieltag'!D22=""),"",('[1]34. Spieltag'!D22))</f>
        <v>3</v>
      </c>
      <c r="F22" s="83">
        <f>IF(('[1]34. Spieltag'!E22=""),"",('[1]34. Spieltag'!E22))</f>
        <v>2</v>
      </c>
      <c r="G22" s="88">
        <f>IF(Auswertung!$I$3="",0,IF(AND(E22=Auswertung!$I$3,F22=Auswertung!$J$3),60,IF(E22-F22=Auswertung!$I$3-Auswertung!$J$3,40,IF(OR(AND(E22&gt;F22,Auswertung!$I$3&gt;Auswertung!$J$3),AND(E22&lt;F22,Auswertung!$I$3&lt;Auswertung!$J$3)),20,0))))</f>
        <v>40</v>
      </c>
      <c r="I22" s="82">
        <f>IF(('[1]34. Spieltag'!H22=""),"",('[1]34. Spieltag'!H22))</f>
        <v>3</v>
      </c>
      <c r="J22" s="83">
        <f>IF(('[1]34. Spieltag'!I22=""),"",('[1]34. Spieltag'!I22))</f>
        <v>2</v>
      </c>
      <c r="K22" s="88">
        <f>IF(Auswertung!$I$3="",0,IF(AND(I22=Auswertung!$I$3,J22=Auswertung!$J$3),60,IF(I22-J22=Auswertung!$I$3-Auswertung!$J$3,40,IF(OR(AND(I22&gt;J22,Auswertung!$I$3&gt;Auswertung!$J$3),AND(I22&lt;J22,Auswertung!$I$3&lt;Auswertung!$J$3)),20,0))))</f>
        <v>40</v>
      </c>
      <c r="M22" s="82">
        <f>IF(('[1]34. Spieltag'!L22=""),"",('[1]34. Spieltag'!L22))</f>
        <v>3</v>
      </c>
      <c r="N22" s="83">
        <f>IF(('[1]34. Spieltag'!M22=""),"",('[1]34. Spieltag'!M22))</f>
        <v>2</v>
      </c>
      <c r="O22" s="88">
        <f>IF(Auswertung!$I$3="",0,IF(AND(M22=Auswertung!$I$3,N22=Auswertung!$J$3),60,IF(M22-N22=Auswertung!$I$3-Auswertung!$J$3,40,IF(OR(AND(M22&gt;N22,Auswertung!$I$3&gt;Auswertung!$J$3),AND(M22&lt;N22,Auswertung!$I$3&lt;Auswertung!$J$3)),20,0))))</f>
        <v>40</v>
      </c>
      <c r="Q22" s="82">
        <f>IF(('[1]34. Spieltag'!P22=""),"",('[1]34. Spieltag'!P22))</f>
        <v>2</v>
      </c>
      <c r="R22" s="83">
        <f>IF(('[1]34. Spieltag'!Q22=""),"",('[1]34. Spieltag'!Q22))</f>
        <v>1</v>
      </c>
      <c r="S22" s="88">
        <f>IF(Auswertung!$I$3="",0,IF(AND(Q22=Auswertung!$I$3,R22=Auswertung!$J$3),60,IF(Q22-R22=Auswertung!$I$3-Auswertung!$J$3,40,IF(OR(AND(Q22&gt;R22,Auswertung!$I$3&gt;Auswertung!$J$3),AND(Q22&lt;R22,Auswertung!$I$3&lt;Auswertung!$J$3)),20,0))))</f>
        <v>60</v>
      </c>
      <c r="U22" s="26"/>
      <c r="V22" s="26"/>
      <c r="W22" s="26"/>
      <c r="Y22" s="26"/>
      <c r="Z22" s="26"/>
      <c r="AB22" s="26"/>
      <c r="AC22" s="26"/>
      <c r="AD22" s="26"/>
    </row>
    <row r="23" spans="1:30" ht="11.25" customHeight="1" x14ac:dyDescent="0.2">
      <c r="A23" s="85"/>
      <c r="B23" s="86" t="str">
        <f>Auswertung!$D$4</f>
        <v>Wolfsburg</v>
      </c>
      <c r="C23" s="87" t="str">
        <f>Auswertung!$E$4</f>
        <v>Mainz</v>
      </c>
      <c r="E23" s="82">
        <f>IF(('[1]34. Spieltag'!D23=""),"",('[1]34. Spieltag'!D23))</f>
        <v>3</v>
      </c>
      <c r="F23" s="83">
        <f>IF(('[1]34. Spieltag'!E23=""),"",('[1]34. Spieltag'!E23))</f>
        <v>1</v>
      </c>
      <c r="G23" s="88">
        <f>IF(Auswertung!$I$4="",0,IF(AND(E23=Auswertung!$I$4,F23=Auswertung!$J$4),60,IF(E23-F23=Auswertung!$I$4-Auswertung!$J$4,40,IF(OR(AND(E23&gt;F23,Auswertung!$I$4&gt;Auswertung!$J$4),AND(E23&lt;F23,Auswertung!$I$4&lt;Auswertung!$J$4)),20,0))))</f>
        <v>0</v>
      </c>
      <c r="I23" s="82">
        <f>IF(('[1]34. Spieltag'!H23=""),"",('[1]34. Spieltag'!H23))</f>
        <v>3</v>
      </c>
      <c r="J23" s="83">
        <f>IF(('[1]34. Spieltag'!I23=""),"",('[1]34. Spieltag'!I23))</f>
        <v>1</v>
      </c>
      <c r="K23" s="88">
        <f>IF(Auswertung!$I$4="",0,IF(AND(I23=Auswertung!$I$4,J23=Auswertung!$J$4),60,IF(I23-J23=Auswertung!$I$4-Auswertung!$J$4,40,IF(OR(AND(I23&gt;J23,Auswertung!$I$4&gt;Auswertung!$J$4),AND(I23&lt;J23,Auswertung!$I$4&lt;Auswertung!$J$4)),20,0))))</f>
        <v>0</v>
      </c>
      <c r="M23" s="82">
        <f>IF(('[1]34. Spieltag'!L23=""),"",('[1]34. Spieltag'!L23))</f>
        <v>4</v>
      </c>
      <c r="N23" s="83">
        <f>IF(('[1]34. Spieltag'!M23=""),"",('[1]34. Spieltag'!M23))</f>
        <v>2</v>
      </c>
      <c r="O23" s="88">
        <f>IF(Auswertung!$I$4="",0,IF(AND(M23=Auswertung!$I$4,N23=Auswertung!$J$4),60,IF(M23-N23=Auswertung!$I$4-Auswertung!$J$4,40,IF(OR(AND(M23&gt;N23,Auswertung!$I$4&gt;Auswertung!$J$4),AND(M23&lt;N23,Auswertung!$I$4&lt;Auswertung!$J$4)),20,0))))</f>
        <v>0</v>
      </c>
      <c r="Q23" s="82">
        <f>IF(('[1]34. Spieltag'!P23=""),"",('[1]34. Spieltag'!P23))</f>
        <v>1</v>
      </c>
      <c r="R23" s="83">
        <f>IF(('[1]34. Spieltag'!Q23=""),"",('[1]34. Spieltag'!Q23))</f>
        <v>1</v>
      </c>
      <c r="S23" s="88">
        <f>IF(Auswertung!$I$4="",0,IF(AND(Q23=Auswertung!$I$4,R23=Auswertung!$J$4),60,IF(Q23-R23=Auswertung!$I$4-Auswertung!$J$4,40,IF(OR(AND(Q23&gt;R23,Auswertung!$I$4&gt;Auswertung!$J$4),AND(Q23&lt;R23,Auswertung!$I$4&lt;Auswertung!$J$4)),20,0))))</f>
        <v>0</v>
      </c>
      <c r="U23" s="26"/>
      <c r="V23" s="26"/>
      <c r="W23" s="26"/>
      <c r="Y23" s="26"/>
      <c r="Z23" s="26"/>
      <c r="AB23" s="26"/>
      <c r="AC23" s="26"/>
      <c r="AD23" s="26"/>
    </row>
    <row r="24" spans="1:30" ht="11.25" customHeight="1" x14ac:dyDescent="0.2">
      <c r="A24" s="85"/>
      <c r="B24" s="86" t="str">
        <f>Auswertung!$D$5</f>
        <v>Stuttgart</v>
      </c>
      <c r="C24" s="87" t="str">
        <f>Auswertung!$E$5</f>
        <v>M'gladbach</v>
      </c>
      <c r="E24" s="82">
        <f>IF(('[1]34. Spieltag'!D24=""),"",('[1]34. Spieltag'!D24))</f>
        <v>4</v>
      </c>
      <c r="F24" s="83">
        <f>IF(('[1]34. Spieltag'!E24=""),"",('[1]34. Spieltag'!E24))</f>
        <v>1</v>
      </c>
      <c r="G24" s="88">
        <f>IF(Auswertung!$I$5="",0,IF(AND(E24=Auswertung!$I$5,F24=Auswertung!$J$5),60,IF(E24-F24=Auswertung!$I$5-Auswertung!$J$5,40,IF(OR(AND(E24&gt;F24,Auswertung!$I$5&gt;Auswertung!$J$5),AND(E24&lt;F24,Auswertung!$I$5&lt;Auswertung!$J$5)),20,0))))</f>
        <v>20</v>
      </c>
      <c r="I24" s="82">
        <f>IF(('[1]34. Spieltag'!H24=""),"",('[1]34. Spieltag'!H24))</f>
        <v>4</v>
      </c>
      <c r="J24" s="83">
        <f>IF(('[1]34. Spieltag'!I24=""),"",('[1]34. Spieltag'!I24))</f>
        <v>1</v>
      </c>
      <c r="K24" s="88">
        <f>IF(Auswertung!$I$5="",0,IF(AND(I24=Auswertung!$I$5,J24=Auswertung!$J$5),60,IF(I24-J24=Auswertung!$I$5-Auswertung!$J$5,40,IF(OR(AND(I24&gt;J24,Auswertung!$I$5&gt;Auswertung!$J$5),AND(I24&lt;J24,Auswertung!$I$5&lt;Auswertung!$J$5)),20,0))))</f>
        <v>20</v>
      </c>
      <c r="M24" s="82">
        <f>IF(('[1]34. Spieltag'!L24=""),"",('[1]34. Spieltag'!L24))</f>
        <v>4</v>
      </c>
      <c r="N24" s="83">
        <f>IF(('[1]34. Spieltag'!M24=""),"",('[1]34. Spieltag'!M24))</f>
        <v>1</v>
      </c>
      <c r="O24" s="88">
        <f>IF(Auswertung!$I$5="",0,IF(AND(M24=Auswertung!$I$5,N24=Auswertung!$J$5),60,IF(M24-N24=Auswertung!$I$5-Auswertung!$J$5,40,IF(OR(AND(M24&gt;N24,Auswertung!$I$5&gt;Auswertung!$J$5),AND(M24&lt;N24,Auswertung!$I$5&lt;Auswertung!$J$5)),20,0))))</f>
        <v>20</v>
      </c>
      <c r="Q24" s="82">
        <f>IF(('[1]34. Spieltag'!P24=""),"",('[1]34. Spieltag'!P24))</f>
        <v>3</v>
      </c>
      <c r="R24" s="83">
        <f>IF(('[1]34. Spieltag'!Q24=""),"",('[1]34. Spieltag'!Q24))</f>
        <v>0</v>
      </c>
      <c r="S24" s="88">
        <f>IF(Auswertung!$I$5="",0,IF(AND(Q24=Auswertung!$I$5,R24=Auswertung!$J$5),60,IF(Q24-R24=Auswertung!$I$5-Auswertung!$J$5,40,IF(OR(AND(Q24&gt;R24,Auswertung!$I$5&gt;Auswertung!$J$5),AND(Q24&lt;R24,Auswertung!$I$5&lt;Auswertung!$J$5)),20,0))))</f>
        <v>20</v>
      </c>
      <c r="U24" s="26"/>
      <c r="V24" s="26"/>
      <c r="W24" s="26"/>
      <c r="Y24" s="26"/>
      <c r="Z24" s="26"/>
      <c r="AB24" s="26"/>
      <c r="AC24" s="26"/>
      <c r="AD24" s="26"/>
    </row>
    <row r="25" spans="1:30" ht="11.25" customHeight="1" x14ac:dyDescent="0.2">
      <c r="A25" s="85"/>
      <c r="B25" s="86" t="str">
        <f>Auswertung!$D$6</f>
        <v>Heidenheim</v>
      </c>
      <c r="C25" s="87" t="str">
        <f>Auswertung!$E$6</f>
        <v>Köln</v>
      </c>
      <c r="E25" s="82">
        <f>IF(('[1]34. Spieltag'!D25=""),"",('[1]34. Spieltag'!D25))</f>
        <v>2</v>
      </c>
      <c r="F25" s="83">
        <f>IF(('[1]34. Spieltag'!E25=""),"",('[1]34. Spieltag'!E25))</f>
        <v>2</v>
      </c>
      <c r="G25" s="88">
        <f>IF(Auswertung!$I$6="",0,IF(AND(E25=Auswertung!$I$6,F25=Auswertung!$J$6),60,IF(E25-F25=Auswertung!$I$6-Auswertung!$J$6,40,IF(OR(AND(E25&gt;F25,Auswertung!$I$6&gt;Auswertung!$J$6),AND(E25&lt;F25,Auswertung!$I$6&lt;Auswertung!$J$6)),20,0))))</f>
        <v>0</v>
      </c>
      <c r="I25" s="82">
        <f>IF(('[1]34. Spieltag'!H25=""),"",('[1]34. Spieltag'!H25))</f>
        <v>2</v>
      </c>
      <c r="J25" s="83">
        <f>IF(('[1]34. Spieltag'!I25=""),"",('[1]34. Spieltag'!I25))</f>
        <v>2</v>
      </c>
      <c r="K25" s="88">
        <f>IF(Auswertung!$I$6="",0,IF(AND(I25=Auswertung!$I$6,J25=Auswertung!$J$6),60,IF(I25-J25=Auswertung!$I$6-Auswertung!$J$6,40,IF(OR(AND(I25&gt;J25,Auswertung!$I$6&gt;Auswertung!$J$6),AND(I25&lt;J25,Auswertung!$I$6&lt;Auswertung!$J$6)),20,0))))</f>
        <v>0</v>
      </c>
      <c r="M25" s="82">
        <f>IF(('[1]34. Spieltag'!L25=""),"",('[1]34. Spieltag'!L25))</f>
        <v>2</v>
      </c>
      <c r="N25" s="83">
        <f>IF(('[1]34. Spieltag'!M25=""),"",('[1]34. Spieltag'!M25))</f>
        <v>2</v>
      </c>
      <c r="O25" s="88">
        <f>IF(Auswertung!$I$6="",0,IF(AND(M25=Auswertung!$I$6,N25=Auswertung!$J$6),60,IF(M25-N25=Auswertung!$I$6-Auswertung!$J$6,40,IF(OR(AND(M25&gt;N25,Auswertung!$I$6&gt;Auswertung!$J$6),AND(M25&lt;N25,Auswertung!$I$6&lt;Auswertung!$J$6)),20,0))))</f>
        <v>0</v>
      </c>
      <c r="Q25" s="82">
        <f>IF(('[1]34. Spieltag'!P25=""),"",('[1]34. Spieltag'!P25))</f>
        <v>1</v>
      </c>
      <c r="R25" s="83">
        <f>IF(('[1]34. Spieltag'!Q25=""),"",('[1]34. Spieltag'!Q25))</f>
        <v>1</v>
      </c>
      <c r="S25" s="88">
        <f>IF(Auswertung!$I$6="",0,IF(AND(Q25=Auswertung!$I$6,R25=Auswertung!$J$6),60,IF(Q25-R25=Auswertung!$I$6-Auswertung!$J$6,40,IF(OR(AND(Q25&gt;R25,Auswertung!$I$6&gt;Auswertung!$J$6),AND(Q25&lt;R25,Auswertung!$I$6&lt;Auswertung!$J$6)),20,0))))</f>
        <v>0</v>
      </c>
      <c r="U25" s="26"/>
      <c r="V25" s="26"/>
      <c r="W25" s="26"/>
      <c r="Y25" s="26"/>
      <c r="Z25" s="26"/>
      <c r="AB25" s="26"/>
      <c r="AC25" s="26"/>
      <c r="AD25" s="26"/>
    </row>
    <row r="26" spans="1:30" ht="11.25" customHeight="1" x14ac:dyDescent="0.2">
      <c r="A26" s="85"/>
      <c r="B26" s="86" t="str">
        <f>Auswertung!$D$7</f>
        <v>Bremen</v>
      </c>
      <c r="C26" s="87" t="str">
        <f>Auswertung!$E$7</f>
        <v>Bochum</v>
      </c>
      <c r="E26" s="82">
        <f>IF(('[1]34. Spieltag'!D26=""),"",('[1]34. Spieltag'!D26))</f>
        <v>3</v>
      </c>
      <c r="F26" s="83">
        <f>IF(('[1]34. Spieltag'!E26=""),"",('[1]34. Spieltag'!E26))</f>
        <v>2</v>
      </c>
      <c r="G26" s="88">
        <f>IF(Auswertung!$I$7="",0,IF(AND(E26=Auswertung!$I$7,F26=Auswertung!$J$7),60,IF(E26-F26=Auswertung!$I$7-Auswertung!$J$7,40,IF(OR(AND(E26&gt;F26,Auswertung!$I$7&gt;Auswertung!$J$7),AND(E26&lt;F26,Auswertung!$I$7&lt;Auswertung!$J$7)),20,0))))</f>
        <v>20</v>
      </c>
      <c r="I26" s="82">
        <f>IF(('[1]34. Spieltag'!H26=""),"",('[1]34. Spieltag'!H26))</f>
        <v>3</v>
      </c>
      <c r="J26" s="83">
        <f>IF(('[1]34. Spieltag'!I26=""),"",('[1]34. Spieltag'!I26))</f>
        <v>2</v>
      </c>
      <c r="K26" s="88">
        <f>IF(Auswertung!$I$7="",0,IF(AND(I26=Auswertung!$I$7,J26=Auswertung!$J$7),60,IF(I26-J26=Auswertung!$I$7-Auswertung!$J$7,40,IF(OR(AND(I26&gt;J26,Auswertung!$I$7&gt;Auswertung!$J$7),AND(I26&lt;J26,Auswertung!$I$7&lt;Auswertung!$J$7)),20,0))))</f>
        <v>20</v>
      </c>
      <c r="M26" s="82">
        <f>IF(('[1]34. Spieltag'!L26=""),"",('[1]34. Spieltag'!L26))</f>
        <v>3</v>
      </c>
      <c r="N26" s="83">
        <f>IF(('[1]34. Spieltag'!M26=""),"",('[1]34. Spieltag'!M26))</f>
        <v>2</v>
      </c>
      <c r="O26" s="88">
        <f>IF(Auswertung!$I$7="",0,IF(AND(M26=Auswertung!$I$7,N26=Auswertung!$J$7),60,IF(M26-N26=Auswertung!$I$7-Auswertung!$J$7,40,IF(OR(AND(M26&gt;N26,Auswertung!$I$7&gt;Auswertung!$J$7),AND(M26&lt;N26,Auswertung!$I$7&lt;Auswertung!$J$7)),20,0))))</f>
        <v>20</v>
      </c>
      <c r="Q26" s="82">
        <f>IF(('[1]34. Spieltag'!P26=""),"",('[1]34. Spieltag'!P26))</f>
        <v>2</v>
      </c>
      <c r="R26" s="83">
        <f>IF(('[1]34. Spieltag'!Q26=""),"",('[1]34. Spieltag'!Q26))</f>
        <v>1</v>
      </c>
      <c r="S26" s="88">
        <f>IF(Auswertung!$I$7="",0,IF(AND(Q26=Auswertung!$I$7,R26=Auswertung!$J$7),60,IF(Q26-R26=Auswertung!$I$7-Auswertung!$J$7,40,IF(OR(AND(Q26&gt;R26,Auswertung!$I$7&gt;Auswertung!$J$7),AND(Q26&lt;R26,Auswertung!$I$7&lt;Auswertung!$J$7)),20,0))))</f>
        <v>20</v>
      </c>
      <c r="U26" s="26"/>
      <c r="V26" s="26"/>
      <c r="W26" s="26"/>
      <c r="Y26" s="26"/>
      <c r="Z26" s="26"/>
      <c r="AB26" s="26"/>
      <c r="AC26" s="26"/>
      <c r="AD26" s="26"/>
    </row>
    <row r="27" spans="1:30" ht="11.25" customHeight="1" x14ac:dyDescent="0.2">
      <c r="A27" s="85"/>
      <c r="B27" s="86" t="str">
        <f>Auswertung!$D$8</f>
        <v>Leverkusen</v>
      </c>
      <c r="C27" s="87" t="str">
        <f>Auswertung!$E$8</f>
        <v>Augsburg</v>
      </c>
      <c r="E27" s="82">
        <f>IF(('[1]34. Spieltag'!D27=""),"",('[1]34. Spieltag'!D27))</f>
        <v>4</v>
      </c>
      <c r="F27" s="83">
        <f>IF(('[1]34. Spieltag'!E27=""),"",('[1]34. Spieltag'!E27))</f>
        <v>1</v>
      </c>
      <c r="G27" s="88">
        <f>IF(Auswertung!$I$8="",0,IF(AND(E27=Auswertung!$I$8,F27=Auswertung!$J$8),60,IF(E27-F27=Auswertung!$I$8-Auswertung!$J$8,40,IF(OR(AND(E27&gt;F27,Auswertung!$I$8&gt;Auswertung!$J$8),AND(E27&lt;F27,Auswertung!$I$8&lt;Auswertung!$J$8)),20,0))))</f>
        <v>20</v>
      </c>
      <c r="I27" s="82">
        <f>IF(('[1]34. Spieltag'!H27=""),"",('[1]34. Spieltag'!H27))</f>
        <v>4</v>
      </c>
      <c r="J27" s="83">
        <f>IF(('[1]34. Spieltag'!I27=""),"",('[1]34. Spieltag'!I27))</f>
        <v>1</v>
      </c>
      <c r="K27" s="88">
        <f>IF(Auswertung!$I$8="",0,IF(AND(I27=Auswertung!$I$8,J27=Auswertung!$J$8),60,IF(I27-J27=Auswertung!$I$8-Auswertung!$J$8,40,IF(OR(AND(I27&gt;J27,Auswertung!$I$8&gt;Auswertung!$J$8),AND(I27&lt;J27,Auswertung!$I$8&lt;Auswertung!$J$8)),20,0))))</f>
        <v>20</v>
      </c>
      <c r="M27" s="82">
        <f>IF(('[1]34. Spieltag'!L27=""),"",('[1]34. Spieltag'!L27))</f>
        <v>4</v>
      </c>
      <c r="N27" s="83">
        <f>IF(('[1]34. Spieltag'!M27=""),"",('[1]34. Spieltag'!M27))</f>
        <v>1</v>
      </c>
      <c r="O27" s="88">
        <f>IF(Auswertung!$I$8="",0,IF(AND(M27=Auswertung!$I$8,N27=Auswertung!$J$8),60,IF(M27-N27=Auswertung!$I$8-Auswertung!$J$8,40,IF(OR(AND(M27&gt;N27,Auswertung!$I$8&gt;Auswertung!$J$8),AND(M27&lt;N27,Auswertung!$I$8&lt;Auswertung!$J$8)),20,0))))</f>
        <v>20</v>
      </c>
      <c r="Q27" s="82">
        <f>IF(('[1]34. Spieltag'!P27=""),"",('[1]34. Spieltag'!P27))</f>
        <v>3</v>
      </c>
      <c r="R27" s="83">
        <f>IF(('[1]34. Spieltag'!Q27=""),"",('[1]34. Spieltag'!Q27))</f>
        <v>0</v>
      </c>
      <c r="S27" s="88">
        <f>IF(Auswertung!$I$8="",0,IF(AND(Q27=Auswertung!$I$8,R27=Auswertung!$J$8),60,IF(Q27-R27=Auswertung!$I$8-Auswertung!$J$8,40,IF(OR(AND(Q27&gt;R27,Auswertung!$I$8&gt;Auswertung!$J$8),AND(Q27&lt;R27,Auswertung!$I$8&lt;Auswertung!$J$8)),20,0))))</f>
        <v>20</v>
      </c>
      <c r="U27" s="26"/>
      <c r="V27" s="26"/>
      <c r="W27" s="26"/>
      <c r="Y27" s="26"/>
      <c r="Z27" s="26"/>
      <c r="AB27" s="26"/>
      <c r="AC27" s="26"/>
      <c r="AD27" s="26"/>
    </row>
    <row r="28" spans="1:30" ht="11.25" customHeight="1" thickBot="1" x14ac:dyDescent="0.25">
      <c r="A28" s="89"/>
      <c r="B28" s="90" t="str">
        <f>Auswertung!$D$9</f>
        <v>Dortmund</v>
      </c>
      <c r="C28" s="91" t="str">
        <f>Auswertung!$E$9</f>
        <v>Darmstadt</v>
      </c>
      <c r="E28" s="82">
        <f>IF(('[1]34. Spieltag'!D28=""),"",('[1]34. Spieltag'!D28))</f>
        <v>4</v>
      </c>
      <c r="F28" s="83">
        <f>IF(('[1]34. Spieltag'!E28=""),"",('[1]34. Spieltag'!E28))</f>
        <v>1</v>
      </c>
      <c r="G28" s="92">
        <f>IF(Auswertung!$I$9="",0,IF(AND(E28=Auswertung!$I$9,F28=Auswertung!$J$9),60,IF(E28-F28=Auswertung!$I$9-Auswertung!$J$9,40,IF(OR(AND(E28&gt;F28,Auswertung!$I$9&gt;Auswertung!$J$9),AND(E28&lt;F28,Auswertung!$I$9&lt;Auswertung!$J$9)),20,0))))</f>
        <v>20</v>
      </c>
      <c r="I28" s="82">
        <f>IF(('[1]34. Spieltag'!H28=""),"",('[1]34. Spieltag'!H28))</f>
        <v>4</v>
      </c>
      <c r="J28" s="83">
        <f>IF(('[1]34. Spieltag'!I28=""),"",('[1]34. Spieltag'!I28))</f>
        <v>1</v>
      </c>
      <c r="K28" s="92">
        <f>IF(Auswertung!$I$9="",0,IF(AND(I28=Auswertung!$I$9,J28=Auswertung!$J$9),60,IF(I28-J28=Auswertung!$I$9-Auswertung!$J$9,40,IF(OR(AND(I28&gt;J28,Auswertung!$I$9&gt;Auswertung!$J$9),AND(I28&lt;J28,Auswertung!$I$9&lt;Auswertung!$J$9)),20,0))))</f>
        <v>20</v>
      </c>
      <c r="M28" s="82">
        <f>IF(('[1]34. Spieltag'!L28=""),"",('[1]34. Spieltag'!L28))</f>
        <v>5</v>
      </c>
      <c r="N28" s="83">
        <f>IF(('[1]34. Spieltag'!M28=""),"",('[1]34. Spieltag'!M28))</f>
        <v>1</v>
      </c>
      <c r="O28" s="92">
        <f>IF(Auswertung!$I$9="",0,IF(AND(M28=Auswertung!$I$9,N28=Auswertung!$J$9),60,IF(M28-N28=Auswertung!$I$9-Auswertung!$J$9,40,IF(OR(AND(M28&gt;N28,Auswertung!$I$9&gt;Auswertung!$J$9),AND(M28&lt;N28,Auswertung!$I$9&lt;Auswertung!$J$9)),20,0))))</f>
        <v>40</v>
      </c>
      <c r="Q28" s="82">
        <f>IF(('[1]34. Spieltag'!P28=""),"",('[1]34. Spieltag'!P28))</f>
        <v>5</v>
      </c>
      <c r="R28" s="83">
        <f>IF(('[1]34. Spieltag'!Q28=""),"",('[1]34. Spieltag'!Q28))</f>
        <v>0</v>
      </c>
      <c r="S28" s="92">
        <f>IF(Auswertung!$I$9="",0,IF(AND(Q28=Auswertung!$I$9,R28=Auswertung!$J$9),60,IF(Q28-R28=Auswertung!$I$9-Auswertung!$J$9,40,IF(OR(AND(Q28&gt;R28,Auswertung!$I$9&gt;Auswertung!$J$9),AND(Q28&lt;R28,Auswertung!$I$9&lt;Auswertung!$J$9)),20,0))))</f>
        <v>20</v>
      </c>
      <c r="U28" s="26"/>
      <c r="V28" s="26"/>
      <c r="W28" s="26"/>
      <c r="Y28" s="26"/>
      <c r="Z28" s="26"/>
      <c r="AB28" s="26"/>
      <c r="AC28" s="26"/>
      <c r="AD28" s="26"/>
    </row>
    <row r="29" spans="1:30" ht="11.25" customHeight="1" thickBot="1" x14ac:dyDescent="0.25">
      <c r="G29" s="47">
        <f>SUM(G20:G28)</f>
        <v>120</v>
      </c>
      <c r="K29" s="47">
        <f>SUM(K20:K28)</f>
        <v>120</v>
      </c>
      <c r="O29" s="47">
        <f>SUM(O20:O28)</f>
        <v>140</v>
      </c>
      <c r="S29" s="47">
        <f>SUM(S20:S28)</f>
        <v>140</v>
      </c>
      <c r="U29" s="26"/>
      <c r="V29" s="26"/>
      <c r="W29" s="26"/>
      <c r="Y29" s="26"/>
      <c r="Z29" s="26"/>
      <c r="AB29" s="26"/>
      <c r="AC29" s="26"/>
      <c r="AD29" s="26"/>
    </row>
    <row r="30" spans="1:30" ht="11.25" customHeight="1" x14ac:dyDescent="0.2">
      <c r="U30" s="26"/>
      <c r="X30" s="73"/>
      <c r="Y30" s="26"/>
      <c r="Z30" s="26"/>
      <c r="AB30" s="26"/>
      <c r="AC30" s="26"/>
      <c r="AD30" s="26"/>
    </row>
    <row r="40" spans="1:1" ht="11.25" customHeight="1" x14ac:dyDescent="0.2">
      <c r="A40" s="34"/>
    </row>
  </sheetData>
  <mergeCells count="9">
    <mergeCell ref="U1:W3"/>
    <mergeCell ref="E16:G18"/>
    <mergeCell ref="E1:G3"/>
    <mergeCell ref="I1:K3"/>
    <mergeCell ref="M1:O3"/>
    <mergeCell ref="Q1:S3"/>
    <mergeCell ref="M16:O18"/>
    <mergeCell ref="I16:K18"/>
    <mergeCell ref="Q16:S18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 xml:space="preserve">&amp;L&amp;D&amp;C&amp;"Tahoma,Fett"&amp;18Bundesliga 2023/2024&amp;R&amp;"Sparkasse Rg,Fett"&amp;12 &amp;F&amp;"Arial,Standard"&amp;10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E63"/>
  <sheetViews>
    <sheetView showGridLines="0" zoomScale="145" zoomScaleNormal="145" workbookViewId="0">
      <selection activeCell="D22" sqref="D22"/>
    </sheetView>
  </sheetViews>
  <sheetFormatPr baseColWidth="10" defaultColWidth="11.42578125" defaultRowHeight="12.75" x14ac:dyDescent="0.2"/>
  <cols>
    <col min="1" max="1" width="21" style="103" customWidth="1"/>
    <col min="2" max="5" width="16.5703125" style="112" customWidth="1"/>
    <col min="6" max="16384" width="11.42578125" style="103"/>
  </cols>
  <sheetData>
    <row r="1" spans="1:5" s="96" customFormat="1" x14ac:dyDescent="0.2">
      <c r="A1" s="93"/>
      <c r="B1" s="94" t="s">
        <v>10</v>
      </c>
      <c r="C1" s="94" t="s">
        <v>10</v>
      </c>
      <c r="D1" s="94" t="s">
        <v>10</v>
      </c>
      <c r="E1" s="95" t="s">
        <v>47</v>
      </c>
    </row>
    <row r="2" spans="1:5" s="96" customFormat="1" ht="13.5" thickBot="1" x14ac:dyDescent="0.25">
      <c r="A2" s="97"/>
      <c r="B2" s="98" t="s">
        <v>48</v>
      </c>
      <c r="C2" s="98" t="s">
        <v>46</v>
      </c>
      <c r="D2" s="98" t="s">
        <v>20</v>
      </c>
      <c r="E2" s="99"/>
    </row>
    <row r="3" spans="1:5" ht="13.5" thickTop="1" x14ac:dyDescent="0.2">
      <c r="A3" s="100"/>
      <c r="B3" s="101"/>
      <c r="C3" s="101"/>
      <c r="D3" s="101"/>
      <c r="E3" s="102"/>
    </row>
    <row r="4" spans="1:5" x14ac:dyDescent="0.2">
      <c r="A4" s="104" t="s">
        <v>40</v>
      </c>
      <c r="B4" s="101">
        <f>Ergebnistipps!$G$14</f>
        <v>200</v>
      </c>
      <c r="C4" s="101">
        <f>Mannschaftstipps!$E$16</f>
        <v>570</v>
      </c>
      <c r="D4" s="101">
        <f>C4+B4</f>
        <v>770</v>
      </c>
      <c r="E4" s="105">
        <f t="shared" ref="E4:E12" si="0">IF(D4=$D$13,50,0)</f>
        <v>50</v>
      </c>
    </row>
    <row r="5" spans="1:5" x14ac:dyDescent="0.2">
      <c r="A5" s="106" t="s">
        <v>41</v>
      </c>
      <c r="B5" s="107">
        <f>Ergebnistipps!$K$14</f>
        <v>200</v>
      </c>
      <c r="C5" s="107">
        <f>Mannschaftstipps!$I$16</f>
        <v>370</v>
      </c>
      <c r="D5" s="107">
        <f>C5+B5</f>
        <v>570</v>
      </c>
      <c r="E5" s="108">
        <f t="shared" si="0"/>
        <v>0</v>
      </c>
    </row>
    <row r="6" spans="1:5" x14ac:dyDescent="0.2">
      <c r="A6" s="109" t="s">
        <v>102</v>
      </c>
      <c r="B6" s="110">
        <f>Ergebnistipps!$O$14</f>
        <v>100</v>
      </c>
      <c r="C6" s="110">
        <f>Mannschaftstipps!$M$16</f>
        <v>475</v>
      </c>
      <c r="D6" s="110">
        <f>C6+B6</f>
        <v>575</v>
      </c>
      <c r="E6" s="111">
        <f t="shared" si="0"/>
        <v>0</v>
      </c>
    </row>
    <row r="7" spans="1:5" x14ac:dyDescent="0.2">
      <c r="A7" s="106" t="s">
        <v>51</v>
      </c>
      <c r="B7" s="107">
        <f>Ergebnistipps!$S$14</f>
        <v>120</v>
      </c>
      <c r="C7" s="107">
        <f>Mannschaftstipps!$E$33</f>
        <v>430</v>
      </c>
      <c r="D7" s="107">
        <f t="shared" ref="D7:D12" si="1">C7+B7</f>
        <v>550</v>
      </c>
      <c r="E7" s="108">
        <f t="shared" si="0"/>
        <v>0</v>
      </c>
    </row>
    <row r="8" spans="1:5" x14ac:dyDescent="0.2">
      <c r="A8" s="109" t="s">
        <v>52</v>
      </c>
      <c r="B8" s="110">
        <f>Ergebnistipps!$W$14</f>
        <v>120</v>
      </c>
      <c r="C8" s="110">
        <f>Mannschaftstipps!$I$33</f>
        <v>515</v>
      </c>
      <c r="D8" s="110">
        <f t="shared" si="1"/>
        <v>635</v>
      </c>
      <c r="E8" s="111">
        <f t="shared" si="0"/>
        <v>0</v>
      </c>
    </row>
    <row r="9" spans="1:5" x14ac:dyDescent="0.2">
      <c r="A9" s="106" t="s">
        <v>53</v>
      </c>
      <c r="B9" s="107">
        <f>Ergebnistipps!$G$29</f>
        <v>120</v>
      </c>
      <c r="C9" s="107">
        <f>Mannschaftstipps!$M$33</f>
        <v>575</v>
      </c>
      <c r="D9" s="107">
        <f t="shared" si="1"/>
        <v>695</v>
      </c>
      <c r="E9" s="108">
        <f t="shared" si="0"/>
        <v>0</v>
      </c>
    </row>
    <row r="10" spans="1:5" x14ac:dyDescent="0.2">
      <c r="A10" s="109" t="s">
        <v>79</v>
      </c>
      <c r="B10" s="110">
        <f>Ergebnistipps!$K$29</f>
        <v>120</v>
      </c>
      <c r="C10" s="110">
        <f>Mannschaftstipps!$E$50</f>
        <v>505</v>
      </c>
      <c r="D10" s="110">
        <f t="shared" si="1"/>
        <v>625</v>
      </c>
      <c r="E10" s="111">
        <f t="shared" si="0"/>
        <v>0</v>
      </c>
    </row>
    <row r="11" spans="1:5" x14ac:dyDescent="0.2">
      <c r="A11" s="106" t="s">
        <v>100</v>
      </c>
      <c r="B11" s="107">
        <f>Ergebnistipps!$O$29</f>
        <v>140</v>
      </c>
      <c r="C11" s="107">
        <f>Mannschaftstipps!$I$50</f>
        <v>450</v>
      </c>
      <c r="D11" s="107">
        <f t="shared" si="1"/>
        <v>590</v>
      </c>
      <c r="E11" s="108">
        <f t="shared" si="0"/>
        <v>0</v>
      </c>
    </row>
    <row r="12" spans="1:5" x14ac:dyDescent="0.2">
      <c r="A12" s="109" t="s">
        <v>78</v>
      </c>
      <c r="B12" s="110">
        <f>Ergebnistipps!$S$29</f>
        <v>140</v>
      </c>
      <c r="C12" s="110">
        <f>Mannschaftstipps!$M$50</f>
        <v>395</v>
      </c>
      <c r="D12" s="110">
        <f t="shared" si="1"/>
        <v>535</v>
      </c>
      <c r="E12" s="111">
        <f t="shared" si="0"/>
        <v>0</v>
      </c>
    </row>
    <row r="13" spans="1:5" s="168" customFormat="1" x14ac:dyDescent="0.2">
      <c r="B13" s="169"/>
      <c r="C13" s="169"/>
      <c r="D13" s="218">
        <f>MAX(D4:D12)</f>
        <v>770</v>
      </c>
      <c r="E13" s="169"/>
    </row>
    <row r="14" spans="1:5" s="168" customFormat="1" x14ac:dyDescent="0.2">
      <c r="B14" s="169"/>
      <c r="C14" s="169"/>
      <c r="D14" s="169"/>
      <c r="E14" s="169"/>
    </row>
    <row r="15" spans="1:5" s="168" customFormat="1" x14ac:dyDescent="0.2">
      <c r="B15" s="169"/>
      <c r="C15" s="169"/>
      <c r="D15" s="169"/>
      <c r="E15" s="169"/>
    </row>
    <row r="16" spans="1:5" s="168" customFormat="1" x14ac:dyDescent="0.2">
      <c r="B16" s="169"/>
      <c r="C16" s="169"/>
      <c r="D16" s="169"/>
      <c r="E16" s="169"/>
    </row>
    <row r="17" spans="2:5" s="168" customFormat="1" x14ac:dyDescent="0.2">
      <c r="B17" s="169"/>
      <c r="C17" s="169"/>
      <c r="D17" s="169"/>
      <c r="E17" s="169"/>
    </row>
    <row r="18" spans="2:5" s="168" customFormat="1" x14ac:dyDescent="0.2">
      <c r="B18" s="169"/>
      <c r="C18" s="169"/>
      <c r="D18" s="169"/>
      <c r="E18" s="169"/>
    </row>
    <row r="63" spans="1:1" x14ac:dyDescent="0.2">
      <c r="A63" s="113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>
    <oddHeader xml:space="preserve">&amp;L&amp;D&amp;C&amp;"Tahoma,Fett"&amp;18Bundesliga 2023/2024&amp;R&amp;"Sparkasse Rg,Fett"&amp;12 &amp;F&amp;"Arial,Standard"&amp;10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Ergebniseingabe</vt:lpstr>
      <vt:lpstr>Spieltag</vt:lpstr>
      <vt:lpstr>Auswertung</vt:lpstr>
      <vt:lpstr>Mannschaftstipps</vt:lpstr>
      <vt:lpstr>Ergebnistipps</vt:lpstr>
      <vt:lpstr>Zusammenfassung Spieltagspunkte</vt:lpstr>
      <vt:lpstr>Auswertung!Druckbereich</vt:lpstr>
      <vt:lpstr>Ergebnistipps!Druckbereich</vt:lpstr>
      <vt:lpstr>Mannschaftstipps!Druckbereich</vt:lpstr>
      <vt:lpstr>Spieltag!Druckbereich</vt:lpstr>
      <vt:lpstr>Auswertung!Drucktitel</vt:lpstr>
      <vt:lpstr>Spieltag!Drucktitel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Fernandes</dc:creator>
  <cp:lastModifiedBy>Paulo Fernandes</cp:lastModifiedBy>
  <cp:lastPrinted>2024-05-10T08:08:51Z</cp:lastPrinted>
  <dcterms:created xsi:type="dcterms:W3CDTF">1999-07-16T21:37:12Z</dcterms:created>
  <dcterms:modified xsi:type="dcterms:W3CDTF">2024-05-18T15:36:03Z</dcterms:modified>
</cp:coreProperties>
</file>